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13_ncr:1_{17F61257-FDE8-4206-AB4B-0DE6FAA84664}" xr6:coauthVersionLast="47" xr6:coauthVersionMax="47" xr10:uidLastSave="{00000000-0000-0000-0000-000000000000}"/>
  <bookViews>
    <workbookView xWindow="-120" yWindow="-120" windowWidth="29040" windowHeight="15720" activeTab="2" xr2:uid="{00000000-000D-0000-FFFF-FFFF00000000}"/>
  </bookViews>
  <sheets>
    <sheet name="TH 2021 - 2025" sheetId="39" r:id="rId1"/>
    <sheet name="dự kiến 2026-2030" sheetId="41" r:id="rId2"/>
    <sheet name="CÁC TỈNH" sheetId="42"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67" i="41" l="1"/>
  <c r="AC67" i="41"/>
  <c r="W67" i="41"/>
  <c r="Q67" i="41"/>
  <c r="K67" i="41"/>
  <c r="E67" i="41"/>
  <c r="D67" i="41"/>
  <c r="AI66" i="41"/>
  <c r="AC66" i="41"/>
  <c r="W66" i="41"/>
  <c r="Q66" i="41"/>
  <c r="K66" i="41"/>
  <c r="E66" i="41"/>
  <c r="D66" i="41"/>
  <c r="AI65" i="41"/>
  <c r="AC65" i="41"/>
  <c r="W65" i="41"/>
  <c r="Q65" i="41"/>
  <c r="K65" i="41"/>
  <c r="E65" i="41"/>
  <c r="D65" i="41"/>
  <c r="AI64" i="41"/>
  <c r="AC64" i="41"/>
  <c r="W64" i="41"/>
  <c r="Q64" i="41"/>
  <c r="K64" i="41"/>
  <c r="E64" i="41"/>
  <c r="D64" i="41"/>
  <c r="AJ63" i="41"/>
  <c r="AI63" i="41"/>
  <c r="AC63" i="41"/>
  <c r="W63" i="41"/>
  <c r="Q63" i="41"/>
  <c r="K63" i="41"/>
  <c r="E63" i="41"/>
  <c r="D63" i="41"/>
  <c r="AI62" i="41"/>
  <c r="AC62" i="41"/>
  <c r="W62" i="41"/>
  <c r="Q62" i="41"/>
  <c r="K62" i="41"/>
  <c r="E62" i="41"/>
  <c r="D62" i="41"/>
  <c r="AI61" i="41"/>
  <c r="AC61" i="41"/>
  <c r="W61" i="41"/>
  <c r="Q61" i="41"/>
  <c r="K61" i="41"/>
  <c r="E61" i="41"/>
  <c r="D61" i="41"/>
  <c r="AI60" i="41"/>
  <c r="AC60" i="41"/>
  <c r="W60" i="41"/>
  <c r="Q60" i="41"/>
  <c r="K60" i="41"/>
  <c r="E60" i="41"/>
  <c r="D60" i="41"/>
  <c r="AI59" i="41"/>
  <c r="AC59" i="41"/>
  <c r="W59" i="41"/>
  <c r="Q59" i="41"/>
  <c r="K59" i="41"/>
  <c r="E59" i="41"/>
  <c r="D59" i="41"/>
  <c r="AI58" i="41"/>
  <c r="AC58" i="41"/>
  <c r="W58" i="41"/>
  <c r="Q58" i="41"/>
  <c r="K58" i="41"/>
  <c r="E58" i="41"/>
  <c r="D58" i="41"/>
  <c r="AI57" i="41"/>
  <c r="AC57" i="41"/>
  <c r="W57" i="41"/>
  <c r="Q57" i="41"/>
  <c r="K57" i="41"/>
  <c r="E57" i="41"/>
  <c r="D57" i="41"/>
  <c r="AI56" i="41"/>
  <c r="AC56" i="41"/>
  <c r="W56" i="41"/>
  <c r="Q56" i="41"/>
  <c r="K56" i="41"/>
  <c r="E56" i="41"/>
  <c r="D56" i="41"/>
  <c r="AI55" i="41"/>
  <c r="AC55" i="41"/>
  <c r="AC52" i="41" s="1"/>
  <c r="W55" i="41"/>
  <c r="Q55" i="41"/>
  <c r="K55" i="41"/>
  <c r="E55" i="41"/>
  <c r="AI54" i="41"/>
  <c r="AC54" i="41"/>
  <c r="W54" i="41"/>
  <c r="W52" i="41" s="1"/>
  <c r="Q54" i="41"/>
  <c r="Q52" i="41" s="1"/>
  <c r="K54" i="41"/>
  <c r="K52" i="41" s="1"/>
  <c r="E54" i="41"/>
  <c r="D54" i="41"/>
  <c r="AI53" i="41"/>
  <c r="AI52" i="41" s="1"/>
  <c r="AC53" i="41"/>
  <c r="W53" i="41"/>
  <c r="Q53" i="41"/>
  <c r="K53" i="41"/>
  <c r="H53" i="41"/>
  <c r="H52" i="41" s="1"/>
  <c r="G53" i="41"/>
  <c r="F53" i="41"/>
  <c r="F52" i="41" s="1"/>
  <c r="E53" i="41"/>
  <c r="E52" i="41" s="1"/>
  <c r="D53" i="41"/>
  <c r="D52" i="41" s="1"/>
  <c r="AL52" i="41"/>
  <c r="AK52" i="41"/>
  <c r="AJ52" i="41"/>
  <c r="AJ8" i="41" s="1"/>
  <c r="AH52" i="41"/>
  <c r="AG52" i="41"/>
  <c r="AF52" i="41"/>
  <c r="AE52" i="41"/>
  <c r="AD52" i="41"/>
  <c r="AB52" i="41"/>
  <c r="AA52" i="41"/>
  <c r="Z52" i="41"/>
  <c r="Y52" i="41"/>
  <c r="X52" i="41"/>
  <c r="X8" i="41" s="1"/>
  <c r="V52" i="41"/>
  <c r="U52" i="41"/>
  <c r="T52" i="41"/>
  <c r="S52" i="41"/>
  <c r="R52" i="41"/>
  <c r="P52" i="41"/>
  <c r="O52" i="41"/>
  <c r="N52" i="41"/>
  <c r="M52" i="41"/>
  <c r="L52" i="41"/>
  <c r="J52" i="41"/>
  <c r="I52" i="41"/>
  <c r="G52" i="41"/>
  <c r="C52" i="41"/>
  <c r="AI51" i="41"/>
  <c r="AH51" i="41" s="1"/>
  <c r="AF51" i="41"/>
  <c r="AC51" i="41" s="1"/>
  <c r="AB51" i="41" s="1"/>
  <c r="Z51" i="41"/>
  <c r="H51" i="41" s="1"/>
  <c r="W51" i="41"/>
  <c r="V51" i="41" s="1"/>
  <c r="Q51" i="41"/>
  <c r="P51" i="41"/>
  <c r="O51" i="41"/>
  <c r="K51" i="41"/>
  <c r="J51" i="41" s="1"/>
  <c r="G51" i="41"/>
  <c r="F51" i="41"/>
  <c r="E51" i="41" s="1"/>
  <c r="AI50" i="41"/>
  <c r="AG50" i="41" s="1"/>
  <c r="AH50" i="41"/>
  <c r="AC50" i="41"/>
  <c r="AA50" i="41" s="1"/>
  <c r="AB50" i="41"/>
  <c r="W50" i="41"/>
  <c r="V50" i="41"/>
  <c r="U50" i="41"/>
  <c r="Q50" i="41"/>
  <c r="P50" i="41" s="1"/>
  <c r="K50" i="41"/>
  <c r="J50" i="41"/>
  <c r="I50" i="41"/>
  <c r="C50" i="41" s="1"/>
  <c r="H50" i="41"/>
  <c r="G50" i="41"/>
  <c r="F50" i="41"/>
  <c r="E50" i="41" s="1"/>
  <c r="AI49" i="41"/>
  <c r="AH49" i="41" s="1"/>
  <c r="AG49" i="41"/>
  <c r="AC49" i="41"/>
  <c r="AB49" i="41"/>
  <c r="AA49" i="41"/>
  <c r="W49" i="41"/>
  <c r="V49" i="41"/>
  <c r="Q49" i="41"/>
  <c r="P49" i="41" s="1"/>
  <c r="K49" i="41"/>
  <c r="J49" i="41" s="1"/>
  <c r="D49" i="41" s="1"/>
  <c r="I49" i="41"/>
  <c r="C49" i="41" s="1"/>
  <c r="H49" i="41"/>
  <c r="G49" i="41"/>
  <c r="F49" i="41"/>
  <c r="E49" i="41"/>
  <c r="AI48" i="41"/>
  <c r="AH48" i="41" s="1"/>
  <c r="AG48" i="41"/>
  <c r="AC48" i="41"/>
  <c r="AB48" i="41"/>
  <c r="W48" i="41"/>
  <c r="V48" i="41"/>
  <c r="Q48" i="41"/>
  <c r="P48" i="41"/>
  <c r="O48" i="41"/>
  <c r="K48" i="41"/>
  <c r="I48" i="41" s="1"/>
  <c r="C48" i="41" s="1"/>
  <c r="J48" i="41"/>
  <c r="D48" i="41" s="1"/>
  <c r="H48" i="41"/>
  <c r="G48" i="41"/>
  <c r="F48" i="41"/>
  <c r="E48" i="41"/>
  <c r="AI47" i="41"/>
  <c r="AH47" i="41" s="1"/>
  <c r="AC47" i="41"/>
  <c r="AB47" i="41"/>
  <c r="W47" i="41"/>
  <c r="V47" i="41" s="1"/>
  <c r="Q47" i="41"/>
  <c r="P47" i="41" s="1"/>
  <c r="N47" i="41"/>
  <c r="K47" i="41" s="1"/>
  <c r="J47" i="41" s="1"/>
  <c r="M47" i="41"/>
  <c r="H47" i="41"/>
  <c r="G47" i="41"/>
  <c r="E47" i="41" s="1"/>
  <c r="F47" i="41"/>
  <c r="C47" i="41"/>
  <c r="AI46" i="41"/>
  <c r="AH46" i="41"/>
  <c r="AC46" i="41"/>
  <c r="AB46" i="41"/>
  <c r="W46" i="41"/>
  <c r="V46" i="41"/>
  <c r="Q46" i="41"/>
  <c r="P46" i="41" s="1"/>
  <c r="N46" i="41"/>
  <c r="K46" i="41" s="1"/>
  <c r="J46" i="41" s="1"/>
  <c r="D46" i="41" s="1"/>
  <c r="M46" i="41"/>
  <c r="G46" i="41"/>
  <c r="F46" i="41"/>
  <c r="C46" i="41"/>
  <c r="AI45" i="41"/>
  <c r="AH45" i="41"/>
  <c r="AC45" i="41"/>
  <c r="AB45" i="41"/>
  <c r="W45" i="41"/>
  <c r="V45" i="41" s="1"/>
  <c r="T45" i="41"/>
  <c r="H45" i="41" s="1"/>
  <c r="K45" i="41"/>
  <c r="J45" i="41"/>
  <c r="I45" i="41"/>
  <c r="C45" i="41" s="1"/>
  <c r="G45" i="41"/>
  <c r="F45" i="41"/>
  <c r="AI44" i="41"/>
  <c r="AH44" i="41"/>
  <c r="AC44" i="41"/>
  <c r="AB44" i="41"/>
  <c r="W44" i="41"/>
  <c r="V44" i="41" s="1"/>
  <c r="Q44" i="41"/>
  <c r="P44" i="41" s="1"/>
  <c r="D44" i="41" s="1"/>
  <c r="K44" i="41"/>
  <c r="J44" i="41"/>
  <c r="H44" i="41"/>
  <c r="G44" i="41"/>
  <c r="E44" i="41" s="1"/>
  <c r="F44" i="41"/>
  <c r="C44" i="41"/>
  <c r="AI43" i="41"/>
  <c r="AH43" i="41"/>
  <c r="AC43" i="41"/>
  <c r="AB43" i="41"/>
  <c r="W43" i="41"/>
  <c r="V43" i="41" s="1"/>
  <c r="Q43" i="41"/>
  <c r="P43" i="41" s="1"/>
  <c r="K43" i="41"/>
  <c r="J43" i="41"/>
  <c r="H43" i="41"/>
  <c r="G43" i="41"/>
  <c r="E43" i="41" s="1"/>
  <c r="F43" i="41"/>
  <c r="C43" i="41"/>
  <c r="AI42" i="41"/>
  <c r="AH42" i="41"/>
  <c r="AC42" i="41"/>
  <c r="AB42" i="41"/>
  <c r="W42" i="41"/>
  <c r="V42" i="41"/>
  <c r="T42" i="41"/>
  <c r="H42" i="41" s="1"/>
  <c r="E42" i="41" s="1"/>
  <c r="S42" i="41"/>
  <c r="R42" i="41"/>
  <c r="Q42" i="41" s="1"/>
  <c r="P42" i="41" s="1"/>
  <c r="K42" i="41"/>
  <c r="J42" i="41" s="1"/>
  <c r="D42" i="41" s="1"/>
  <c r="I42" i="41"/>
  <c r="C42" i="41" s="1"/>
  <c r="G42" i="41"/>
  <c r="F42" i="41"/>
  <c r="AI41" i="41"/>
  <c r="AH41" i="41"/>
  <c r="AG41" i="41"/>
  <c r="AC41" i="41"/>
  <c r="AA41" i="41" s="1"/>
  <c r="AB41" i="41"/>
  <c r="W41" i="41"/>
  <c r="V41" i="41"/>
  <c r="U41" i="41"/>
  <c r="Q41" i="41"/>
  <c r="P41" i="41" s="1"/>
  <c r="K41" i="41"/>
  <c r="J41" i="41" s="1"/>
  <c r="H41" i="41"/>
  <c r="G41" i="41"/>
  <c r="F41" i="41"/>
  <c r="E41" i="41" s="1"/>
  <c r="AI40" i="41"/>
  <c r="AH40" i="41" s="1"/>
  <c r="AC40" i="41"/>
  <c r="AB40" i="41" s="1"/>
  <c r="D40" i="41" s="1"/>
  <c r="W40" i="41"/>
  <c r="V40" i="41"/>
  <c r="Q40" i="41"/>
  <c r="P40" i="41"/>
  <c r="K40" i="41"/>
  <c r="J40" i="41"/>
  <c r="H40" i="41"/>
  <c r="G40" i="41"/>
  <c r="F40" i="41"/>
  <c r="E40" i="41" s="1"/>
  <c r="C40" i="41"/>
  <c r="AI39" i="41"/>
  <c r="AH39" i="41" s="1"/>
  <c r="AC39" i="41"/>
  <c r="AB39" i="41" s="1"/>
  <c r="W39" i="41"/>
  <c r="V39" i="41"/>
  <c r="Q39" i="41"/>
  <c r="P39" i="41"/>
  <c r="N39" i="41"/>
  <c r="H39" i="41" s="1"/>
  <c r="L39" i="41"/>
  <c r="L9" i="41" s="1"/>
  <c r="L8" i="41" s="1"/>
  <c r="G39" i="41"/>
  <c r="C39" i="41"/>
  <c r="AI38" i="41"/>
  <c r="AH38" i="41" s="1"/>
  <c r="AC38" i="41"/>
  <c r="AB38" i="41" s="1"/>
  <c r="D38" i="41" s="1"/>
  <c r="W38" i="41"/>
  <c r="V38" i="41"/>
  <c r="Q38" i="41"/>
  <c r="P38" i="41"/>
  <c r="K38" i="41"/>
  <c r="J38" i="41"/>
  <c r="H38" i="41"/>
  <c r="G38" i="41"/>
  <c r="F38" i="41"/>
  <c r="E38" i="41" s="1"/>
  <c r="C38" i="41"/>
  <c r="AI37" i="41"/>
  <c r="AH37" i="41" s="1"/>
  <c r="AC37" i="41"/>
  <c r="AB37" i="41" s="1"/>
  <c r="W37" i="41"/>
  <c r="V37" i="41"/>
  <c r="T37" i="41"/>
  <c r="T9" i="41" s="1"/>
  <c r="T8" i="41" s="1"/>
  <c r="R37" i="41"/>
  <c r="Q37" i="41" s="1"/>
  <c r="P37" i="41" s="1"/>
  <c r="D37" i="41" s="1"/>
  <c r="K37" i="41"/>
  <c r="J37" i="41"/>
  <c r="I37" i="41"/>
  <c r="G37" i="41"/>
  <c r="C37" i="41"/>
  <c r="AI36" i="41"/>
  <c r="AG36" i="41" s="1"/>
  <c r="AH36" i="41"/>
  <c r="AC36" i="41"/>
  <c r="AB36" i="41"/>
  <c r="AA36" i="41"/>
  <c r="W36" i="41"/>
  <c r="V36" i="41" s="1"/>
  <c r="Q36" i="41"/>
  <c r="P36" i="41"/>
  <c r="O36" i="41"/>
  <c r="K36" i="41"/>
  <c r="I36" i="41" s="1"/>
  <c r="J36" i="41"/>
  <c r="D36" i="41" s="1"/>
  <c r="H36" i="41"/>
  <c r="G36" i="41"/>
  <c r="F36" i="41"/>
  <c r="E36" i="41"/>
  <c r="AI35" i="41"/>
  <c r="AH35" i="41"/>
  <c r="AC35" i="41"/>
  <c r="AB35" i="41"/>
  <c r="W35" i="41"/>
  <c r="V35" i="41"/>
  <c r="Q35" i="41"/>
  <c r="P35" i="41" s="1"/>
  <c r="K35" i="41"/>
  <c r="J35" i="41" s="1"/>
  <c r="D35" i="41" s="1"/>
  <c r="H35" i="41"/>
  <c r="G35" i="41"/>
  <c r="F35" i="41"/>
  <c r="E35" i="41"/>
  <c r="C35" i="41"/>
  <c r="AI34" i="41"/>
  <c r="AH34" i="41"/>
  <c r="AC34" i="41"/>
  <c r="AB34" i="41"/>
  <c r="W34" i="41"/>
  <c r="V34" i="41"/>
  <c r="Q34" i="41"/>
  <c r="P34" i="41"/>
  <c r="M34" i="41"/>
  <c r="K34" i="41" s="1"/>
  <c r="J34" i="41" s="1"/>
  <c r="D34" i="41" s="1"/>
  <c r="L34" i="41"/>
  <c r="F34" i="41" s="1"/>
  <c r="H34" i="41"/>
  <c r="C34" i="41"/>
  <c r="AI33" i="41"/>
  <c r="AG33" i="41" s="1"/>
  <c r="AH33" i="41"/>
  <c r="AC33" i="41"/>
  <c r="AB33" i="41" s="1"/>
  <c r="W33" i="41"/>
  <c r="V33" i="41" s="1"/>
  <c r="S33" i="41"/>
  <c r="S9" i="41" s="1"/>
  <c r="S8" i="41" s="1"/>
  <c r="K33" i="41"/>
  <c r="J33" i="41"/>
  <c r="I33" i="41"/>
  <c r="H33" i="41"/>
  <c r="G33" i="41"/>
  <c r="E33" i="41" s="1"/>
  <c r="F33" i="41"/>
  <c r="AI32" i="41"/>
  <c r="AH32" i="41"/>
  <c r="AG32" i="41"/>
  <c r="AC32" i="41"/>
  <c r="AA32" i="41" s="1"/>
  <c r="AB32" i="41"/>
  <c r="W32" i="41"/>
  <c r="V32" i="41" s="1"/>
  <c r="Q32" i="41"/>
  <c r="P32" i="41" s="1"/>
  <c r="O32" i="41"/>
  <c r="N32" i="41"/>
  <c r="M32" i="41"/>
  <c r="K32" i="41"/>
  <c r="J32" i="41"/>
  <c r="D32" i="41" s="1"/>
  <c r="I32" i="41"/>
  <c r="H32" i="41"/>
  <c r="G32" i="41"/>
  <c r="E32" i="41" s="1"/>
  <c r="F32" i="41"/>
  <c r="AI31" i="41"/>
  <c r="AH31" i="41"/>
  <c r="AG31" i="41"/>
  <c r="AC31" i="41"/>
  <c r="AA31" i="41" s="1"/>
  <c r="AB31" i="41"/>
  <c r="W31" i="41"/>
  <c r="V31" i="41" s="1"/>
  <c r="Q31" i="41"/>
  <c r="P31" i="41" s="1"/>
  <c r="O31" i="41"/>
  <c r="K31" i="41"/>
  <c r="J31" i="41"/>
  <c r="D31" i="41" s="1"/>
  <c r="I31" i="41"/>
  <c r="H31" i="41"/>
  <c r="G31" i="41"/>
  <c r="E31" i="41" s="1"/>
  <c r="F31" i="41"/>
  <c r="AI30" i="41"/>
  <c r="AH30" i="41"/>
  <c r="AC30" i="41"/>
  <c r="AB30" i="41"/>
  <c r="W30" i="41"/>
  <c r="V30" i="41"/>
  <c r="Q30" i="41"/>
  <c r="P30" i="41" s="1"/>
  <c r="K30" i="41"/>
  <c r="J30" i="41" s="1"/>
  <c r="D30" i="41" s="1"/>
  <c r="H30" i="41"/>
  <c r="G30" i="41"/>
  <c r="F30" i="41"/>
  <c r="E30" i="41"/>
  <c r="C30" i="41"/>
  <c r="AI29" i="41"/>
  <c r="AH29" i="41"/>
  <c r="AC29" i="41"/>
  <c r="AB29" i="41"/>
  <c r="W29" i="41"/>
  <c r="V29" i="41"/>
  <c r="Q29" i="41"/>
  <c r="P29" i="41" s="1"/>
  <c r="K29" i="41"/>
  <c r="J29" i="41" s="1"/>
  <c r="H29" i="41"/>
  <c r="G29" i="41"/>
  <c r="F29" i="41"/>
  <c r="E29" i="41"/>
  <c r="C29" i="41"/>
  <c r="AI28" i="41"/>
  <c r="AH28" i="41"/>
  <c r="AC28" i="41"/>
  <c r="AB28" i="41"/>
  <c r="W28" i="41"/>
  <c r="V28" i="41"/>
  <c r="Q28" i="41"/>
  <c r="P28" i="41"/>
  <c r="M28" i="41"/>
  <c r="K28" i="41" s="1"/>
  <c r="J28" i="41" s="1"/>
  <c r="D28" i="41" s="1"/>
  <c r="H28" i="41"/>
  <c r="F28" i="41"/>
  <c r="C28" i="41"/>
  <c r="AI27" i="41"/>
  <c r="AH27" i="41"/>
  <c r="AG27" i="41"/>
  <c r="AC27" i="41"/>
  <c r="AA27" i="41" s="1"/>
  <c r="AB27" i="41"/>
  <c r="Z27" i="41"/>
  <c r="Y27" i="41"/>
  <c r="G27" i="41" s="1"/>
  <c r="Q27" i="41"/>
  <c r="P27" i="41"/>
  <c r="O27" i="41"/>
  <c r="K27" i="41"/>
  <c r="J27" i="41" s="1"/>
  <c r="H27" i="41"/>
  <c r="F27" i="41"/>
  <c r="AI26" i="41"/>
  <c r="AH26" i="41"/>
  <c r="AC26" i="41"/>
  <c r="AB26" i="41" s="1"/>
  <c r="W26" i="41"/>
  <c r="V26" i="41" s="1"/>
  <c r="Q26" i="41"/>
  <c r="P26" i="41"/>
  <c r="N26" i="41"/>
  <c r="M26" i="41"/>
  <c r="K26" i="41" s="1"/>
  <c r="J26" i="41" s="1"/>
  <c r="D26" i="41" s="1"/>
  <c r="L26" i="41"/>
  <c r="H26" i="41"/>
  <c r="G26" i="41"/>
  <c r="E26" i="41" s="1"/>
  <c r="F26" i="41"/>
  <c r="C26" i="41"/>
  <c r="AI25" i="41"/>
  <c r="AG25" i="41" s="1"/>
  <c r="C25" i="41" s="1"/>
  <c r="AH25" i="41"/>
  <c r="AC25" i="41"/>
  <c r="AB25" i="41"/>
  <c r="AA25" i="41"/>
  <c r="W25" i="41"/>
  <c r="V25" i="41" s="1"/>
  <c r="Q25" i="41"/>
  <c r="P25" i="41" s="1"/>
  <c r="D25" i="41" s="1"/>
  <c r="K25" i="41"/>
  <c r="J25" i="41"/>
  <c r="I25" i="41"/>
  <c r="H25" i="41"/>
  <c r="G25" i="41"/>
  <c r="F25" i="41"/>
  <c r="E25" i="41"/>
  <c r="AI24" i="41"/>
  <c r="AH24" i="41" s="1"/>
  <c r="AC24" i="41"/>
  <c r="AB24" i="41"/>
  <c r="W24" i="41"/>
  <c r="V24" i="41"/>
  <c r="Q24" i="41"/>
  <c r="P24" i="41"/>
  <c r="K24" i="41"/>
  <c r="J24" i="41"/>
  <c r="I24" i="41"/>
  <c r="C24" i="41" s="1"/>
  <c r="H24" i="41"/>
  <c r="G24" i="41"/>
  <c r="F24" i="41"/>
  <c r="E24" i="41" s="1"/>
  <c r="AI23" i="41"/>
  <c r="AH23" i="41"/>
  <c r="AC23" i="41"/>
  <c r="AB23" i="41"/>
  <c r="W23" i="41"/>
  <c r="V23" i="41" s="1"/>
  <c r="Q23" i="41"/>
  <c r="P23" i="41" s="1"/>
  <c r="D23" i="41" s="1"/>
  <c r="K23" i="41"/>
  <c r="J23" i="41"/>
  <c r="I23" i="41"/>
  <c r="H23" i="41"/>
  <c r="G23" i="41"/>
  <c r="F23" i="41"/>
  <c r="E23" i="41"/>
  <c r="C23" i="41"/>
  <c r="AI22" i="41"/>
  <c r="AH22" i="41" s="1"/>
  <c r="AC22" i="41"/>
  <c r="AB22" i="41" s="1"/>
  <c r="AA22" i="41"/>
  <c r="W22" i="41"/>
  <c r="V22" i="41"/>
  <c r="U22" i="41"/>
  <c r="Q22" i="41"/>
  <c r="P22" i="41"/>
  <c r="K22" i="41"/>
  <c r="I22" i="41" s="1"/>
  <c r="J22" i="41"/>
  <c r="H22" i="41"/>
  <c r="G22" i="41"/>
  <c r="F22" i="41"/>
  <c r="E22" i="41"/>
  <c r="AI21" i="41"/>
  <c r="AH21" i="41"/>
  <c r="AC21" i="41"/>
  <c r="AB21" i="41"/>
  <c r="W21" i="41"/>
  <c r="V21" i="41"/>
  <c r="Q21" i="41"/>
  <c r="P21" i="41" s="1"/>
  <c r="K21" i="41"/>
  <c r="J21" i="41" s="1"/>
  <c r="D21" i="41" s="1"/>
  <c r="H21" i="41"/>
  <c r="G21" i="41"/>
  <c r="F21" i="41"/>
  <c r="E21" i="41" s="1"/>
  <c r="AI20" i="41"/>
  <c r="AH20" i="41" s="1"/>
  <c r="AC20" i="41"/>
  <c r="AB20" i="41" s="1"/>
  <c r="W20" i="41"/>
  <c r="V20" i="41"/>
  <c r="Q20" i="41"/>
  <c r="P20" i="41"/>
  <c r="K20" i="41"/>
  <c r="I20" i="41" s="1"/>
  <c r="C20" i="41" s="1"/>
  <c r="J20" i="41"/>
  <c r="H20" i="41"/>
  <c r="G20" i="41"/>
  <c r="F20" i="41"/>
  <c r="E20" i="41"/>
  <c r="AI19" i="41"/>
  <c r="AH19" i="41"/>
  <c r="AC19" i="41"/>
  <c r="AB19" i="41"/>
  <c r="W19" i="41"/>
  <c r="V19" i="41"/>
  <c r="Q19" i="41"/>
  <c r="P19" i="41" s="1"/>
  <c r="K19" i="41"/>
  <c r="J19" i="41" s="1"/>
  <c r="D19" i="41" s="1"/>
  <c r="H19" i="41"/>
  <c r="G19" i="41"/>
  <c r="F19" i="41"/>
  <c r="E19" i="41"/>
  <c r="C19" i="41"/>
  <c r="AI18" i="41"/>
  <c r="AH18" i="41"/>
  <c r="AC18" i="41"/>
  <c r="AB18" i="41"/>
  <c r="W18" i="41"/>
  <c r="V18" i="41"/>
  <c r="Q18" i="41"/>
  <c r="P18" i="41"/>
  <c r="K18" i="41"/>
  <c r="J18" i="41" s="1"/>
  <c r="D18" i="41" s="1"/>
  <c r="H18" i="41"/>
  <c r="G18" i="41"/>
  <c r="F18" i="41"/>
  <c r="E18" i="41" s="1"/>
  <c r="AI17" i="41"/>
  <c r="AH17" i="41"/>
  <c r="AC17" i="41"/>
  <c r="AB17" i="41" s="1"/>
  <c r="W17" i="41"/>
  <c r="V17" i="41" s="1"/>
  <c r="Q17" i="41"/>
  <c r="P17" i="41"/>
  <c r="K17" i="41"/>
  <c r="J17" i="41"/>
  <c r="H17" i="41"/>
  <c r="G17" i="41"/>
  <c r="F17" i="41"/>
  <c r="E17" i="41"/>
  <c r="C17" i="41"/>
  <c r="AI16" i="41"/>
  <c r="AH16" i="41" s="1"/>
  <c r="AC16" i="41"/>
  <c r="AB16" i="41" s="1"/>
  <c r="W16" i="41"/>
  <c r="V16" i="41" s="1"/>
  <c r="Q16" i="41"/>
  <c r="P16" i="41"/>
  <c r="K16" i="41"/>
  <c r="I16" i="41" s="1"/>
  <c r="C16" i="41" s="1"/>
  <c r="J16" i="41"/>
  <c r="H16" i="41"/>
  <c r="E16" i="41" s="1"/>
  <c r="G16" i="41"/>
  <c r="F16" i="41"/>
  <c r="AI15" i="41"/>
  <c r="AH15" i="41"/>
  <c r="AG15" i="41"/>
  <c r="AC15" i="41"/>
  <c r="AB15" i="41" s="1"/>
  <c r="W15" i="41"/>
  <c r="V15" i="41" s="1"/>
  <c r="U15" i="41"/>
  <c r="Q15" i="41"/>
  <c r="O15" i="41" s="1"/>
  <c r="O9" i="41" s="1"/>
  <c r="O8" i="41" s="1"/>
  <c r="P15" i="41"/>
  <c r="K15" i="41"/>
  <c r="J15" i="41"/>
  <c r="D15" i="41" s="1"/>
  <c r="I15" i="41"/>
  <c r="H15" i="41"/>
  <c r="G15" i="41"/>
  <c r="F15" i="41"/>
  <c r="E15" i="41" s="1"/>
  <c r="AI14" i="41"/>
  <c r="AH14" i="41" s="1"/>
  <c r="AG14" i="41"/>
  <c r="AC14" i="41"/>
  <c r="AB14" i="41"/>
  <c r="W14" i="41"/>
  <c r="V14" i="41" s="1"/>
  <c r="Q14" i="41"/>
  <c r="P14" i="41" s="1"/>
  <c r="D14" i="41" s="1"/>
  <c r="K14" i="41"/>
  <c r="J14" i="41"/>
  <c r="I14" i="41"/>
  <c r="H14" i="41"/>
  <c r="G14" i="41"/>
  <c r="F14" i="41"/>
  <c r="E14" i="41"/>
  <c r="C14" i="41"/>
  <c r="A14" i="41"/>
  <c r="A15" i="41" s="1"/>
  <c r="A16" i="41" s="1"/>
  <c r="A17" i="41" s="1"/>
  <c r="A18" i="41" s="1"/>
  <c r="A19" i="41" s="1"/>
  <c r="A20" i="41" s="1"/>
  <c r="A21" i="41" s="1"/>
  <c r="A22" i="41" s="1"/>
  <c r="A23" i="41" s="1"/>
  <c r="A24" i="41" s="1"/>
  <c r="A25" i="41" s="1"/>
  <c r="A26" i="41" s="1"/>
  <c r="A27" i="41" s="1"/>
  <c r="A28" i="41" s="1"/>
  <c r="A29" i="41" s="1"/>
  <c r="A30" i="41" s="1"/>
  <c r="A31" i="41" s="1"/>
  <c r="A32" i="41" s="1"/>
  <c r="A33" i="41" s="1"/>
  <c r="A34" i="41" s="1"/>
  <c r="A35" i="41" s="1"/>
  <c r="A36" i="41" s="1"/>
  <c r="A37" i="41" s="1"/>
  <c r="A38" i="41" s="1"/>
  <c r="A39" i="41" s="1"/>
  <c r="A40" i="41" s="1"/>
  <c r="A41" i="41" s="1"/>
  <c r="A42" i="41" s="1"/>
  <c r="A43" i="41" s="1"/>
  <c r="A44" i="41" s="1"/>
  <c r="A45" i="41" s="1"/>
  <c r="A46" i="41" s="1"/>
  <c r="A47" i="41" s="1"/>
  <c r="A48" i="41" s="1"/>
  <c r="A49" i="41" s="1"/>
  <c r="A50" i="41" s="1"/>
  <c r="A51" i="41" s="1"/>
  <c r="AI13" i="41"/>
  <c r="AH13" i="41" s="1"/>
  <c r="AC13" i="41"/>
  <c r="AB13" i="41"/>
  <c r="W13" i="41"/>
  <c r="V13" i="41"/>
  <c r="Q13" i="41"/>
  <c r="P13" i="41"/>
  <c r="O13" i="41"/>
  <c r="C13" i="41" s="1"/>
  <c r="K13" i="41"/>
  <c r="J13" i="41"/>
  <c r="D13" i="41" s="1"/>
  <c r="H13" i="41"/>
  <c r="G13" i="41"/>
  <c r="E13" i="41" s="1"/>
  <c r="F13" i="41"/>
  <c r="AI12" i="41"/>
  <c r="AH12" i="41" s="1"/>
  <c r="AC12" i="41"/>
  <c r="AB12" i="41"/>
  <c r="W12" i="41"/>
  <c r="V12" i="41"/>
  <c r="Q12" i="41"/>
  <c r="P12" i="41"/>
  <c r="K12" i="41"/>
  <c r="J12" i="41"/>
  <c r="I12" i="41"/>
  <c r="H12" i="41"/>
  <c r="G12" i="41"/>
  <c r="F12" i="41"/>
  <c r="E12" i="41"/>
  <c r="C12" i="41"/>
  <c r="AI11" i="41"/>
  <c r="AH11" i="41" s="1"/>
  <c r="AC11" i="41"/>
  <c r="AB11" i="41" s="1"/>
  <c r="W11" i="41"/>
  <c r="V11" i="41" s="1"/>
  <c r="Q11" i="41"/>
  <c r="P11" i="41" s="1"/>
  <c r="K11" i="41"/>
  <c r="J11" i="41"/>
  <c r="I11" i="41"/>
  <c r="H11" i="41"/>
  <c r="G11" i="41"/>
  <c r="F11" i="41"/>
  <c r="E11" i="41" s="1"/>
  <c r="AI10" i="41"/>
  <c r="AH10" i="41"/>
  <c r="AC10" i="41"/>
  <c r="AB10" i="41"/>
  <c r="W10" i="41"/>
  <c r="V10" i="41"/>
  <c r="Q10" i="41"/>
  <c r="P10" i="41" s="1"/>
  <c r="K10" i="41"/>
  <c r="J10" i="41" s="1"/>
  <c r="H10" i="41"/>
  <c r="G10" i="41"/>
  <c r="F10" i="41"/>
  <c r="E10" i="41" s="1"/>
  <c r="AL9" i="41"/>
  <c r="AL8" i="41" s="1"/>
  <c r="AK9" i="41"/>
  <c r="AK8" i="41" s="1"/>
  <c r="AJ9" i="41"/>
  <c r="AF9" i="41"/>
  <c r="AE9" i="41"/>
  <c r="AD9" i="41"/>
  <c r="AD8" i="41" s="1"/>
  <c r="Z9" i="41"/>
  <c r="Z8" i="41" s="1"/>
  <c r="Y9" i="41"/>
  <c r="Y8" i="41" s="1"/>
  <c r="X9" i="41"/>
  <c r="N9" i="41"/>
  <c r="N8" i="41" s="1"/>
  <c r="AF8" i="41"/>
  <c r="AE8" i="41"/>
  <c r="T22" i="39"/>
  <c r="R22" i="39"/>
  <c r="C22" i="39" s="1"/>
  <c r="T21" i="39"/>
  <c r="R21" i="39"/>
  <c r="T20" i="39"/>
  <c r="R20" i="39"/>
  <c r="R19" i="39"/>
  <c r="T19" i="39"/>
  <c r="E19" i="39" s="1"/>
  <c r="E91" i="39"/>
  <c r="E92" i="39"/>
  <c r="E90" i="39"/>
  <c r="D10" i="39"/>
  <c r="D11" i="39"/>
  <c r="D12" i="39"/>
  <c r="D13" i="39"/>
  <c r="D14" i="39"/>
  <c r="D16" i="39"/>
  <c r="D23" i="39"/>
  <c r="D24" i="39"/>
  <c r="D25" i="39"/>
  <c r="D26" i="39"/>
  <c r="D27" i="39"/>
  <c r="D28" i="39"/>
  <c r="D29" i="39"/>
  <c r="D30" i="39"/>
  <c r="D31" i="39"/>
  <c r="D32" i="39"/>
  <c r="D33" i="39"/>
  <c r="D34" i="39"/>
  <c r="D35" i="39"/>
  <c r="D36" i="39"/>
  <c r="D37" i="39"/>
  <c r="D38" i="39"/>
  <c r="D39" i="39"/>
  <c r="D40" i="39"/>
  <c r="D41" i="39"/>
  <c r="D42" i="39"/>
  <c r="D43" i="39"/>
  <c r="D44" i="39"/>
  <c r="D45" i="39"/>
  <c r="D46" i="39"/>
  <c r="D47" i="39"/>
  <c r="D48" i="39"/>
  <c r="D49" i="39"/>
  <c r="D50" i="39"/>
  <c r="D51" i="39"/>
  <c r="D52" i="39"/>
  <c r="D53" i="39"/>
  <c r="D54" i="39"/>
  <c r="D55" i="39"/>
  <c r="D56" i="39"/>
  <c r="D57" i="39"/>
  <c r="D58" i="39"/>
  <c r="D59" i="39"/>
  <c r="D60" i="39"/>
  <c r="D61" i="39"/>
  <c r="D62" i="39"/>
  <c r="D63" i="39"/>
  <c r="D64" i="39"/>
  <c r="D65" i="39"/>
  <c r="D66" i="39"/>
  <c r="D67" i="39"/>
  <c r="D68" i="39"/>
  <c r="D69" i="39"/>
  <c r="D70" i="39"/>
  <c r="D71" i="39"/>
  <c r="D72" i="39"/>
  <c r="D73" i="39"/>
  <c r="D74" i="39"/>
  <c r="D75" i="39"/>
  <c r="D76" i="39"/>
  <c r="D77" i="39"/>
  <c r="D78" i="39"/>
  <c r="D79" i="39"/>
  <c r="D80" i="39"/>
  <c r="D81" i="39"/>
  <c r="D82" i="39"/>
  <c r="D83" i="39"/>
  <c r="D84" i="39"/>
  <c r="D85" i="39"/>
  <c r="D86" i="39"/>
  <c r="D87" i="39"/>
  <c r="D88" i="39"/>
  <c r="D89" i="39"/>
  <c r="D90" i="39"/>
  <c r="D91" i="39"/>
  <c r="D92" i="39"/>
  <c r="C10" i="39"/>
  <c r="C11" i="39"/>
  <c r="C12" i="39"/>
  <c r="C13" i="39"/>
  <c r="C14" i="39"/>
  <c r="C16" i="39"/>
  <c r="C23" i="39"/>
  <c r="C24" i="39"/>
  <c r="C25" i="39"/>
  <c r="C26" i="39"/>
  <c r="C27" i="39"/>
  <c r="C28" i="39"/>
  <c r="C29" i="39"/>
  <c r="C30" i="39"/>
  <c r="C31" i="39"/>
  <c r="C32" i="39"/>
  <c r="C33" i="39"/>
  <c r="C34" i="39"/>
  <c r="C35" i="39"/>
  <c r="C36" i="39"/>
  <c r="C37" i="39"/>
  <c r="C38" i="39"/>
  <c r="C39" i="39"/>
  <c r="C40" i="39"/>
  <c r="C41" i="39"/>
  <c r="C42" i="39"/>
  <c r="C43" i="39"/>
  <c r="C44" i="39"/>
  <c r="C45" i="39"/>
  <c r="C46" i="39"/>
  <c r="C47" i="39"/>
  <c r="C48" i="39"/>
  <c r="C49" i="39"/>
  <c r="C50" i="39"/>
  <c r="C51" i="39"/>
  <c r="C52" i="39"/>
  <c r="C53" i="39"/>
  <c r="C54" i="39"/>
  <c r="C55" i="39"/>
  <c r="C56" i="39"/>
  <c r="C57" i="39"/>
  <c r="C58" i="39"/>
  <c r="C59" i="39"/>
  <c r="C60" i="39"/>
  <c r="C61" i="39"/>
  <c r="C62" i="39"/>
  <c r="C63" i="39"/>
  <c r="C64" i="39"/>
  <c r="C65" i="39"/>
  <c r="C66" i="39"/>
  <c r="C67" i="39"/>
  <c r="C68" i="39"/>
  <c r="C69" i="39"/>
  <c r="C70" i="39"/>
  <c r="C71" i="39"/>
  <c r="C72" i="39"/>
  <c r="C73" i="39"/>
  <c r="C74" i="39"/>
  <c r="C75" i="39"/>
  <c r="C76" i="39"/>
  <c r="C77" i="39"/>
  <c r="C78" i="39"/>
  <c r="C79" i="39"/>
  <c r="C80" i="39"/>
  <c r="C81" i="39"/>
  <c r="C82" i="39"/>
  <c r="C83" i="39"/>
  <c r="C84" i="39"/>
  <c r="C85" i="39"/>
  <c r="C86" i="39"/>
  <c r="C87" i="39"/>
  <c r="C88" i="39"/>
  <c r="C89" i="39"/>
  <c r="C90" i="39"/>
  <c r="C91" i="39"/>
  <c r="C92" i="39"/>
  <c r="E10" i="39"/>
  <c r="E11" i="39"/>
  <c r="E12" i="39"/>
  <c r="E13" i="39"/>
  <c r="E14" i="39"/>
  <c r="E16" i="39"/>
  <c r="E17" i="39"/>
  <c r="D17" i="39" s="1"/>
  <c r="E18" i="39"/>
  <c r="E20" i="39"/>
  <c r="D20" i="39" s="1"/>
  <c r="E21" i="39"/>
  <c r="D21" i="39" s="1"/>
  <c r="E22" i="39"/>
  <c r="D22" i="39" s="1"/>
  <c r="E23" i="39"/>
  <c r="E24" i="39"/>
  <c r="E25" i="39"/>
  <c r="E26" i="39"/>
  <c r="E27" i="39"/>
  <c r="E28" i="39"/>
  <c r="E29" i="39"/>
  <c r="E30" i="39"/>
  <c r="E31" i="39"/>
  <c r="E32" i="39"/>
  <c r="E33" i="39"/>
  <c r="E34" i="39"/>
  <c r="E35" i="39"/>
  <c r="E36" i="39"/>
  <c r="E37" i="39"/>
  <c r="E38" i="39"/>
  <c r="E39" i="39"/>
  <c r="E40" i="39"/>
  <c r="E41" i="39"/>
  <c r="E42" i="39"/>
  <c r="E43" i="39"/>
  <c r="E44" i="39"/>
  <c r="E45" i="39"/>
  <c r="E46" i="39"/>
  <c r="E47" i="39"/>
  <c r="E48" i="39"/>
  <c r="E49" i="39"/>
  <c r="E50" i="39"/>
  <c r="E51" i="39"/>
  <c r="E52" i="39"/>
  <c r="E53" i="39"/>
  <c r="E54" i="39"/>
  <c r="E55" i="39"/>
  <c r="E56" i="39"/>
  <c r="E57" i="39"/>
  <c r="E58" i="39"/>
  <c r="E59" i="39"/>
  <c r="E60" i="39"/>
  <c r="E61" i="39"/>
  <c r="E62" i="39"/>
  <c r="E63" i="39"/>
  <c r="E64" i="39"/>
  <c r="E65" i="39"/>
  <c r="E66" i="39"/>
  <c r="E67" i="39"/>
  <c r="E68" i="39"/>
  <c r="E69" i="39"/>
  <c r="E70" i="39"/>
  <c r="E71" i="39"/>
  <c r="E72" i="39"/>
  <c r="E73" i="39"/>
  <c r="E74" i="39"/>
  <c r="E75" i="39"/>
  <c r="E76" i="39"/>
  <c r="E77" i="39"/>
  <c r="E78" i="39"/>
  <c r="E79" i="39"/>
  <c r="E80" i="39"/>
  <c r="E81" i="39"/>
  <c r="E82" i="39"/>
  <c r="E83" i="39"/>
  <c r="E84" i="39"/>
  <c r="E85" i="39"/>
  <c r="E86" i="39"/>
  <c r="E87" i="39"/>
  <c r="E88" i="39"/>
  <c r="E89" i="39"/>
  <c r="F9" i="39"/>
  <c r="F10" i="39"/>
  <c r="F11" i="39"/>
  <c r="F12" i="39"/>
  <c r="F13" i="39"/>
  <c r="F14" i="39"/>
  <c r="F15" i="39"/>
  <c r="F16" i="39"/>
  <c r="F17" i="39"/>
  <c r="F18" i="39"/>
  <c r="F19" i="39"/>
  <c r="F20" i="39"/>
  <c r="F21" i="39"/>
  <c r="F22" i="39"/>
  <c r="F23" i="39"/>
  <c r="F24" i="39"/>
  <c r="F25" i="39"/>
  <c r="F26" i="39"/>
  <c r="F27" i="39"/>
  <c r="F28" i="39"/>
  <c r="F29" i="39"/>
  <c r="F30" i="39"/>
  <c r="F31" i="39"/>
  <c r="F32" i="39"/>
  <c r="F33" i="39"/>
  <c r="F34" i="39"/>
  <c r="F35" i="39"/>
  <c r="F36" i="39"/>
  <c r="F37" i="39"/>
  <c r="F38" i="39"/>
  <c r="F39" i="39"/>
  <c r="F40" i="39"/>
  <c r="F41" i="39"/>
  <c r="F42" i="39"/>
  <c r="F43" i="39"/>
  <c r="F44" i="39"/>
  <c r="F45" i="39"/>
  <c r="F46" i="39"/>
  <c r="F47" i="39"/>
  <c r="F48" i="39"/>
  <c r="F49" i="39"/>
  <c r="F50" i="39"/>
  <c r="F51" i="39"/>
  <c r="F52" i="39"/>
  <c r="F53" i="39"/>
  <c r="F54" i="39"/>
  <c r="F55" i="39"/>
  <c r="F56" i="39"/>
  <c r="F57" i="39"/>
  <c r="F58" i="39"/>
  <c r="F59" i="39"/>
  <c r="F60" i="39"/>
  <c r="F61" i="39"/>
  <c r="F62" i="39"/>
  <c r="F63" i="39"/>
  <c r="F64" i="39"/>
  <c r="F65" i="39"/>
  <c r="F66" i="39"/>
  <c r="F67" i="39"/>
  <c r="F68" i="39"/>
  <c r="F69" i="39"/>
  <c r="F70" i="39"/>
  <c r="F71" i="39"/>
  <c r="F72" i="39"/>
  <c r="F73" i="39"/>
  <c r="F74" i="39"/>
  <c r="F75" i="39"/>
  <c r="F76" i="39"/>
  <c r="F77" i="39"/>
  <c r="F78" i="39"/>
  <c r="F79" i="39"/>
  <c r="F80" i="39"/>
  <c r="F81" i="39"/>
  <c r="F82" i="39"/>
  <c r="F83" i="39"/>
  <c r="F84" i="39"/>
  <c r="F85" i="39"/>
  <c r="F86" i="39"/>
  <c r="F87" i="39"/>
  <c r="F88" i="39"/>
  <c r="F89" i="39"/>
  <c r="F90" i="39"/>
  <c r="F91" i="39"/>
  <c r="F92" i="39"/>
  <c r="G10" i="39"/>
  <c r="G11" i="39"/>
  <c r="G12" i="39"/>
  <c r="G13" i="39"/>
  <c r="G14" i="39"/>
  <c r="G16" i="39"/>
  <c r="G17" i="39"/>
  <c r="G18" i="39"/>
  <c r="G19" i="39"/>
  <c r="G20" i="39"/>
  <c r="G21" i="39"/>
  <c r="G22" i="39"/>
  <c r="G23" i="39"/>
  <c r="G24" i="39"/>
  <c r="G25" i="39"/>
  <c r="G26" i="39"/>
  <c r="G27" i="39"/>
  <c r="G28" i="39"/>
  <c r="G29" i="39"/>
  <c r="G30" i="39"/>
  <c r="G31" i="39"/>
  <c r="G32" i="39"/>
  <c r="G33" i="39"/>
  <c r="G34" i="39"/>
  <c r="G35" i="39"/>
  <c r="G36" i="39"/>
  <c r="G37" i="39"/>
  <c r="G38" i="39"/>
  <c r="G39" i="39"/>
  <c r="G40" i="39"/>
  <c r="G41" i="39"/>
  <c r="G42" i="39"/>
  <c r="G43" i="39"/>
  <c r="G44" i="39"/>
  <c r="G45" i="39"/>
  <c r="G46" i="39"/>
  <c r="G47" i="39"/>
  <c r="G48" i="39"/>
  <c r="G49" i="39"/>
  <c r="G50" i="39"/>
  <c r="G51" i="39"/>
  <c r="G52" i="39"/>
  <c r="G53" i="39"/>
  <c r="G54" i="39"/>
  <c r="G55" i="39"/>
  <c r="G56" i="39"/>
  <c r="G57" i="39"/>
  <c r="G58" i="39"/>
  <c r="G59" i="39"/>
  <c r="G60" i="39"/>
  <c r="G61" i="39"/>
  <c r="G62" i="39"/>
  <c r="G63" i="39"/>
  <c r="G64" i="39"/>
  <c r="G65" i="39"/>
  <c r="G66" i="39"/>
  <c r="G67" i="39"/>
  <c r="G68" i="39"/>
  <c r="G69" i="39"/>
  <c r="G70" i="39"/>
  <c r="G71" i="39"/>
  <c r="G72" i="39"/>
  <c r="G73" i="39"/>
  <c r="G74" i="39"/>
  <c r="G75" i="39"/>
  <c r="G76" i="39"/>
  <c r="G77" i="39"/>
  <c r="G78" i="39"/>
  <c r="G79" i="39"/>
  <c r="G80" i="39"/>
  <c r="G81" i="39"/>
  <c r="G82" i="39"/>
  <c r="G83" i="39"/>
  <c r="G84" i="39"/>
  <c r="G85" i="39"/>
  <c r="G86" i="39"/>
  <c r="G87" i="39"/>
  <c r="G88" i="39"/>
  <c r="G89" i="39"/>
  <c r="G90" i="39"/>
  <c r="G91" i="39"/>
  <c r="G92" i="39"/>
  <c r="F8" i="39"/>
  <c r="I54" i="39"/>
  <c r="J54" i="39"/>
  <c r="J53" i="39" s="1"/>
  <c r="K54" i="39"/>
  <c r="K53" i="39" s="1"/>
  <c r="L54" i="39"/>
  <c r="L53" i="39" s="1"/>
  <c r="M54" i="39"/>
  <c r="N54" i="39"/>
  <c r="N53" i="39" s="1"/>
  <c r="O54" i="39"/>
  <c r="O53" i="39" s="1"/>
  <c r="P54" i="39"/>
  <c r="Q54" i="39"/>
  <c r="Q53" i="39" s="1"/>
  <c r="R54" i="39"/>
  <c r="R53" i="39" s="1"/>
  <c r="S54" i="39"/>
  <c r="S53" i="39" s="1"/>
  <c r="T54" i="39"/>
  <c r="U54" i="39"/>
  <c r="V54" i="39"/>
  <c r="V53" i="39" s="1"/>
  <c r="H54" i="39"/>
  <c r="H53" i="39" s="1"/>
  <c r="I53" i="39"/>
  <c r="M53" i="39"/>
  <c r="P53" i="39"/>
  <c r="T53" i="39"/>
  <c r="U53" i="39"/>
  <c r="X66" i="39"/>
  <c r="X53" i="39" s="1"/>
  <c r="Y66" i="39"/>
  <c r="Y53" i="39" s="1"/>
  <c r="Z66" i="39"/>
  <c r="AA66" i="39"/>
  <c r="AA53" i="39" s="1"/>
  <c r="W66" i="39"/>
  <c r="Z53" i="39"/>
  <c r="AB9" i="41" l="1"/>
  <c r="AB8" i="41" s="1"/>
  <c r="D12" i="41"/>
  <c r="D29" i="41"/>
  <c r="D50" i="41"/>
  <c r="D51" i="41"/>
  <c r="D20" i="41"/>
  <c r="E34" i="41"/>
  <c r="AH9" i="41"/>
  <c r="AH8" i="41" s="1"/>
  <c r="D16" i="41"/>
  <c r="D22" i="41"/>
  <c r="H9" i="41"/>
  <c r="H8" i="41" s="1"/>
  <c r="D17" i="41"/>
  <c r="D24" i="41"/>
  <c r="E27" i="41"/>
  <c r="D41" i="41"/>
  <c r="E45" i="41"/>
  <c r="D10" i="41"/>
  <c r="D11" i="41"/>
  <c r="C36" i="41"/>
  <c r="AG9" i="41"/>
  <c r="AG8" i="41" s="1"/>
  <c r="D33" i="41"/>
  <c r="D43" i="41"/>
  <c r="D47" i="41"/>
  <c r="U36" i="41"/>
  <c r="I21" i="41"/>
  <c r="C21" i="41" s="1"/>
  <c r="AC9" i="41"/>
  <c r="AC8" i="41" s="1"/>
  <c r="Q33" i="41"/>
  <c r="P33" i="41" s="1"/>
  <c r="P9" i="41" s="1"/>
  <c r="P8" i="41" s="1"/>
  <c r="F37" i="41"/>
  <c r="E37" i="41" s="1"/>
  <c r="Q45" i="41"/>
  <c r="P45" i="41" s="1"/>
  <c r="D45" i="41" s="1"/>
  <c r="R9" i="41"/>
  <c r="R8" i="41" s="1"/>
  <c r="W27" i="41"/>
  <c r="H37" i="41"/>
  <c r="H46" i="41"/>
  <c r="E46" i="41" s="1"/>
  <c r="G34" i="41"/>
  <c r="F39" i="41"/>
  <c r="E39" i="41" s="1"/>
  <c r="I10" i="41"/>
  <c r="AA11" i="41"/>
  <c r="AG22" i="41"/>
  <c r="C22" i="41" s="1"/>
  <c r="G28" i="41"/>
  <c r="G9" i="41" s="1"/>
  <c r="G8" i="41" s="1"/>
  <c r="U31" i="41"/>
  <c r="C31" i="41" s="1"/>
  <c r="U32" i="41"/>
  <c r="C32" i="41" s="1"/>
  <c r="AA33" i="41"/>
  <c r="C33" i="41" s="1"/>
  <c r="I41" i="41"/>
  <c r="C41" i="41" s="1"/>
  <c r="K39" i="41"/>
  <c r="J39" i="41" s="1"/>
  <c r="D39" i="41" s="1"/>
  <c r="M9" i="41"/>
  <c r="M8" i="41" s="1"/>
  <c r="AI9" i="41"/>
  <c r="AI8" i="41" s="1"/>
  <c r="AA15" i="41"/>
  <c r="C15" i="41" s="1"/>
  <c r="I18" i="41"/>
  <c r="C18" i="41" s="1"/>
  <c r="I27" i="41"/>
  <c r="I51" i="41"/>
  <c r="C51" i="41" s="1"/>
  <c r="AG51" i="41"/>
  <c r="D19" i="39"/>
  <c r="D18" i="39"/>
  <c r="Y15" i="39"/>
  <c r="J10" i="39"/>
  <c r="L10" i="39"/>
  <c r="M10" i="39"/>
  <c r="O10" i="39"/>
  <c r="Q10" i="39"/>
  <c r="R10" i="39"/>
  <c r="T10" i="39"/>
  <c r="U10" i="39"/>
  <c r="V10" i="39"/>
  <c r="W10" i="39"/>
  <c r="X10" i="39"/>
  <c r="Y10" i="39"/>
  <c r="Z10" i="39"/>
  <c r="AA10" i="39"/>
  <c r="H10" i="39"/>
  <c r="Q21" i="39"/>
  <c r="H21" i="39"/>
  <c r="J21" i="39"/>
  <c r="J18" i="39"/>
  <c r="O16" i="39"/>
  <c r="J16" i="39"/>
  <c r="U24" i="39"/>
  <c r="U25" i="39"/>
  <c r="U26" i="39"/>
  <c r="U27" i="39"/>
  <c r="U28" i="39"/>
  <c r="U29" i="39"/>
  <c r="U30" i="39"/>
  <c r="U23" i="39"/>
  <c r="P24" i="39"/>
  <c r="P25" i="39"/>
  <c r="P26" i="39"/>
  <c r="P27" i="39"/>
  <c r="P28" i="39"/>
  <c r="P29" i="39"/>
  <c r="P30" i="39"/>
  <c r="P23" i="39"/>
  <c r="K24" i="39"/>
  <c r="K25" i="39"/>
  <c r="K26" i="39"/>
  <c r="K27" i="39"/>
  <c r="K28" i="39"/>
  <c r="K29" i="39"/>
  <c r="K30" i="39"/>
  <c r="K23" i="39"/>
  <c r="J19" i="39"/>
  <c r="E28" i="41" l="1"/>
  <c r="E9" i="41" s="1"/>
  <c r="E8" i="41" s="1"/>
  <c r="I9" i="41"/>
  <c r="I8" i="41" s="1"/>
  <c r="C10" i="41"/>
  <c r="Q9" i="41"/>
  <c r="Q8" i="41" s="1"/>
  <c r="J9" i="41"/>
  <c r="J8" i="41" s="1"/>
  <c r="AA9" i="41"/>
  <c r="AA8" i="41" s="1"/>
  <c r="F9" i="41"/>
  <c r="F8" i="41" s="1"/>
  <c r="K9" i="41"/>
  <c r="K8" i="41" s="1"/>
  <c r="C11" i="41"/>
  <c r="V27" i="41"/>
  <c r="U27" i="41"/>
  <c r="U9" i="41" s="1"/>
  <c r="U8" i="41" s="1"/>
  <c r="W9" i="41"/>
  <c r="W8" i="41" s="1"/>
  <c r="O22" i="39"/>
  <c r="J22" i="39"/>
  <c r="C27" i="41" l="1"/>
  <c r="D27" i="41"/>
  <c r="D9" i="41" s="1"/>
  <c r="D8" i="41" s="1"/>
  <c r="V9" i="41"/>
  <c r="V8" i="41" s="1"/>
  <c r="C9" i="41"/>
  <c r="C8" i="41" s="1"/>
  <c r="P14" i="39"/>
  <c r="P13" i="39"/>
  <c r="P12" i="39"/>
  <c r="I33" i="39"/>
  <c r="I34" i="39"/>
  <c r="I35" i="39"/>
  <c r="I36" i="39"/>
  <c r="I37" i="39"/>
  <c r="I38" i="39"/>
  <c r="I39" i="39"/>
  <c r="I40" i="39"/>
  <c r="I41" i="39"/>
  <c r="I42" i="39"/>
  <c r="I43" i="39"/>
  <c r="I44" i="39"/>
  <c r="I45" i="39"/>
  <c r="I46" i="39"/>
  <c r="I47" i="39"/>
  <c r="I48" i="39"/>
  <c r="I49" i="39"/>
  <c r="I50" i="39"/>
  <c r="I51" i="39"/>
  <c r="I52" i="39"/>
  <c r="I32" i="39"/>
  <c r="I17" i="39"/>
  <c r="I18" i="39"/>
  <c r="I19" i="39"/>
  <c r="I20" i="39"/>
  <c r="I21" i="39"/>
  <c r="I22" i="39"/>
  <c r="I23" i="39"/>
  <c r="I24" i="39"/>
  <c r="I25" i="39"/>
  <c r="I26" i="39"/>
  <c r="I27" i="39"/>
  <c r="I28" i="39"/>
  <c r="I29" i="39"/>
  <c r="I30" i="39"/>
  <c r="I16" i="39"/>
  <c r="I12" i="39"/>
  <c r="I13" i="39"/>
  <c r="I14" i="39"/>
  <c r="K11" i="39"/>
  <c r="J15" i="39"/>
  <c r="K15" i="39"/>
  <c r="L15" i="39"/>
  <c r="M15" i="39"/>
  <c r="O15" i="39"/>
  <c r="O9" i="39" s="1"/>
  <c r="O8" i="39" s="1"/>
  <c r="P15" i="39"/>
  <c r="Q15" i="39"/>
  <c r="Q9" i="39" s="1"/>
  <c r="Q8" i="39" s="1"/>
  <c r="T15" i="39"/>
  <c r="U15" i="39"/>
  <c r="U9" i="39" s="1"/>
  <c r="U8" i="39" s="1"/>
  <c r="V15" i="39"/>
  <c r="G15" i="39" s="1"/>
  <c r="W15" i="39"/>
  <c r="X15" i="39"/>
  <c r="Z15" i="39"/>
  <c r="AA15" i="39"/>
  <c r="J31" i="39"/>
  <c r="K31" i="39"/>
  <c r="L31" i="39"/>
  <c r="M31" i="39"/>
  <c r="N31" i="39"/>
  <c r="O31" i="39"/>
  <c r="P31" i="39"/>
  <c r="Q31" i="39"/>
  <c r="R31" i="39"/>
  <c r="S31" i="39"/>
  <c r="T31" i="39"/>
  <c r="U31" i="39"/>
  <c r="V31" i="39"/>
  <c r="Z31" i="39"/>
  <c r="AA31" i="39"/>
  <c r="H31" i="39"/>
  <c r="Y44" i="39"/>
  <c r="Y52" i="39"/>
  <c r="Y51" i="39"/>
  <c r="T9" i="39" l="1"/>
  <c r="E15" i="39"/>
  <c r="D15" i="39" s="1"/>
  <c r="M9" i="39"/>
  <c r="M8" i="39" s="1"/>
  <c r="L9" i="39"/>
  <c r="L8" i="39" s="1"/>
  <c r="AA9" i="39"/>
  <c r="AA8" i="39" s="1"/>
  <c r="Z9" i="39"/>
  <c r="Z8" i="39" s="1"/>
  <c r="J9" i="39"/>
  <c r="J8" i="39" s="1"/>
  <c r="I11" i="39"/>
  <c r="I10" i="39" s="1"/>
  <c r="K10" i="39"/>
  <c r="K9" i="39" s="1"/>
  <c r="K8" i="39" s="1"/>
  <c r="V9" i="39"/>
  <c r="P10" i="39"/>
  <c r="P9" i="39" s="1"/>
  <c r="P8" i="39" s="1"/>
  <c r="I31" i="39"/>
  <c r="I15" i="39"/>
  <c r="Y49" i="39"/>
  <c r="X49" i="39" s="1"/>
  <c r="Y47" i="39"/>
  <c r="X47" i="39" s="1"/>
  <c r="Y43" i="39"/>
  <c r="X43" i="39" s="1"/>
  <c r="Y36" i="39"/>
  <c r="X36" i="39" s="1"/>
  <c r="Y34" i="39"/>
  <c r="X34" i="39" s="1"/>
  <c r="Y33" i="39"/>
  <c r="Y32" i="39"/>
  <c r="X33" i="39"/>
  <c r="X35" i="39"/>
  <c r="X37" i="39"/>
  <c r="X38" i="39"/>
  <c r="X39" i="39"/>
  <c r="X40" i="39"/>
  <c r="X41" i="39"/>
  <c r="X42" i="39"/>
  <c r="X44" i="39"/>
  <c r="X45" i="39"/>
  <c r="X46" i="39"/>
  <c r="X48" i="39"/>
  <c r="X50" i="39"/>
  <c r="X51" i="39"/>
  <c r="X52" i="39"/>
  <c r="W52" i="39"/>
  <c r="W51" i="39"/>
  <c r="W50" i="39"/>
  <c r="W49" i="39"/>
  <c r="W48" i="39"/>
  <c r="W47" i="39"/>
  <c r="W46" i="39"/>
  <c r="W45" i="39"/>
  <c r="W44" i="39"/>
  <c r="W43" i="39"/>
  <c r="W42" i="39"/>
  <c r="W41" i="39"/>
  <c r="W40" i="39"/>
  <c r="W38" i="39"/>
  <c r="W37" i="39"/>
  <c r="W36" i="39"/>
  <c r="W35" i="39"/>
  <c r="W34" i="39"/>
  <c r="W33" i="39"/>
  <c r="W32" i="39"/>
  <c r="V8" i="39" l="1"/>
  <c r="G8" i="39" s="1"/>
  <c r="G9" i="39"/>
  <c r="T8" i="39"/>
  <c r="E8" i="39" s="1"/>
  <c r="D8" i="39" s="1"/>
  <c r="E9" i="39"/>
  <c r="I9" i="39"/>
  <c r="I8" i="39" s="1"/>
  <c r="W31" i="39"/>
  <c r="X32" i="39"/>
  <c r="X31" i="39" s="1"/>
  <c r="X9" i="39" s="1"/>
  <c r="X8" i="39" s="1"/>
  <c r="Y31" i="39"/>
  <c r="D9" i="39" l="1"/>
  <c r="Y9" i="39"/>
  <c r="Y8" i="39" s="1"/>
  <c r="W9" i="39"/>
  <c r="A17" i="39" l="1"/>
  <c r="A18" i="39" s="1"/>
  <c r="A19" i="39" s="1"/>
  <c r="A20" i="39" s="1"/>
  <c r="A21" i="39" s="1"/>
  <c r="A22" i="39" s="1"/>
  <c r="A23" i="39" s="1"/>
  <c r="A24" i="39" s="1"/>
  <c r="A25" i="39" s="1"/>
  <c r="A26" i="39" s="1"/>
  <c r="A27" i="39" s="1"/>
  <c r="A28" i="39" s="1"/>
  <c r="A29" i="39" s="1"/>
  <c r="A30" i="39" s="1"/>
  <c r="A33" i="39" s="1"/>
  <c r="A34" i="39" s="1"/>
  <c r="H22" i="39"/>
  <c r="H20" i="39"/>
  <c r="H19" i="39"/>
  <c r="H18" i="39"/>
  <c r="H17" i="39"/>
  <c r="H16" i="39"/>
  <c r="H15" i="39" s="1"/>
  <c r="H9" i="39" s="1"/>
  <c r="H8" i="39" s="1"/>
  <c r="R17" i="39"/>
  <c r="C17" i="39" s="1"/>
  <c r="C18" i="39"/>
  <c r="C19" i="39"/>
  <c r="C20" i="39"/>
  <c r="C21" i="39"/>
  <c r="A35" i="39" l="1"/>
  <c r="A36" i="39" s="1"/>
  <c r="A37" i="39" s="1"/>
  <c r="A38" i="39" s="1"/>
  <c r="A39" i="39" s="1"/>
  <c r="A40" i="39" s="1"/>
  <c r="A41" i="39" s="1"/>
  <c r="A42" i="39" s="1"/>
  <c r="A43" i="39" s="1"/>
  <c r="A44" i="39" s="1"/>
  <c r="A45" i="39" s="1"/>
  <c r="A46" i="39" s="1"/>
  <c r="A47" i="39" s="1"/>
  <c r="A48" i="39" s="1"/>
  <c r="A49" i="39" s="1"/>
  <c r="A50" i="39" s="1"/>
  <c r="A51" i="39" s="1"/>
  <c r="A52" i="39" s="1"/>
  <c r="R15" i="39"/>
  <c r="C15" i="39" s="1"/>
  <c r="S12" i="39"/>
  <c r="S13" i="39"/>
  <c r="S14" i="39"/>
  <c r="S16" i="39"/>
  <c r="S17" i="39"/>
  <c r="S18" i="39"/>
  <c r="S19" i="39"/>
  <c r="S20" i="39"/>
  <c r="S21" i="39"/>
  <c r="S22" i="39"/>
  <c r="S11" i="39"/>
  <c r="N12" i="39"/>
  <c r="N13" i="39"/>
  <c r="N14" i="39"/>
  <c r="N16" i="39"/>
  <c r="N17" i="39"/>
  <c r="N18" i="39"/>
  <c r="N19" i="39"/>
  <c r="N20" i="39"/>
  <c r="N21" i="39"/>
  <c r="N22" i="39"/>
  <c r="N11" i="39"/>
  <c r="N10" i="39" l="1"/>
  <c r="S10" i="39"/>
  <c r="R9" i="39"/>
  <c r="S15" i="39"/>
  <c r="S9" i="39" s="1"/>
  <c r="S8" i="39" s="1"/>
  <c r="N15" i="39"/>
  <c r="A31" i="42"/>
  <c r="A32" i="42" s="1"/>
  <c r="A33" i="42" s="1"/>
  <c r="A34" i="42" s="1"/>
  <c r="A35" i="42" s="1"/>
  <c r="A36" i="42" s="1"/>
  <c r="A26" i="42"/>
  <c r="A27" i="42" s="1"/>
  <c r="A28" i="42" s="1"/>
  <c r="A29" i="42" s="1"/>
  <c r="A30" i="42" s="1"/>
  <c r="R8" i="39" l="1"/>
  <c r="C8" i="39" s="1"/>
  <c r="C9" i="39"/>
  <c r="N9" i="39"/>
  <c r="N8" i="39" s="1"/>
  <c r="A7" i="42"/>
  <c r="A8" i="42" s="1"/>
  <c r="A9" i="42" s="1"/>
  <c r="A10" i="42" s="1"/>
  <c r="A11" i="42" s="1"/>
  <c r="A12" i="42" s="1"/>
  <c r="A13" i="42" s="1"/>
  <c r="A14" i="42" s="1"/>
  <c r="A15" i="42" s="1"/>
  <c r="A16" i="42" s="1"/>
  <c r="A17" i="42" s="1"/>
  <c r="A18" i="42" s="1"/>
  <c r="A19" i="42" s="1"/>
  <c r="A20" i="42" s="1"/>
  <c r="A21" i="42" s="1"/>
  <c r="A22" i="42" s="1"/>
  <c r="A23" i="42" s="1"/>
  <c r="A24" i="42" s="1"/>
  <c r="A25" i="42" s="1"/>
  <c r="A12" i="39"/>
  <c r="W53" i="39"/>
  <c r="W8" i="39" s="1"/>
</calcChain>
</file>

<file path=xl/sharedStrings.xml><?xml version="1.0" encoding="utf-8"?>
<sst xmlns="http://schemas.openxmlformats.org/spreadsheetml/2006/main" count="295" uniqueCount="163">
  <si>
    <t>I</t>
  </si>
  <si>
    <t>II</t>
  </si>
  <si>
    <t>TT</t>
  </si>
  <si>
    <t>Ngân sách tỉnh</t>
  </si>
  <si>
    <t>TỔNG CỘNG</t>
  </si>
  <si>
    <t>ĐƠN VỊ/ĐỊA PHƯƠNG</t>
  </si>
  <si>
    <t>Cấp tỉnh</t>
  </si>
  <si>
    <t>Ngân sách huyện/xã</t>
  </si>
  <si>
    <t>Tổng kinh phí  (Triệu đồng)</t>
  </si>
  <si>
    <t>Số lượng Dự án/mô hình PTSX</t>
  </si>
  <si>
    <t>Số hộ tham gia</t>
  </si>
  <si>
    <t>Ngân sách xã</t>
  </si>
  <si>
    <t>Phụ lục I</t>
  </si>
  <si>
    <t>Phụ lục II</t>
  </si>
  <si>
    <t>STT</t>
  </si>
  <si>
    <t>SỐ NGHỊ QUYẾT</t>
  </si>
  <si>
    <t>TỈNH/THÀNH PHỐ</t>
  </si>
  <si>
    <t>Thái Nguyên</t>
  </si>
  <si>
    <t>63/2026/NQ-HĐND ngày 17/7/2026</t>
  </si>
  <si>
    <t>Hộ nghèo, cận nghèo</t>
  </si>
  <si>
    <t>Khác</t>
  </si>
  <si>
    <t>Thoát nghèo, DTTS</t>
  </si>
  <si>
    <t>CHUỖI GIÁ TRỊ</t>
  </si>
  <si>
    <t>Mức Hỗ trợ</t>
  </si>
  <si>
    <t>Định mức/đối tượng</t>
  </si>
  <si>
    <t>CỘNG ĐỒNG</t>
  </si>
  <si>
    <t>Lai Châu</t>
  </si>
  <si>
    <t>29/2026/NQ-HĐND ngày 31/7/2026</t>
  </si>
  <si>
    <t>Gia Lai</t>
  </si>
  <si>
    <t>Lạng Sơn</t>
  </si>
  <si>
    <t>15/2026/NQ-HĐND ngày 09/7/2026</t>
  </si>
  <si>
    <t>Tây Ninh</t>
  </si>
  <si>
    <t>55/2026/NQ-HĐND ngày 17/7/2026</t>
  </si>
  <si>
    <t>Phân theo khu vực vùng đồng bào DTTS, ATK, biên giới và khu vực khác</t>
  </si>
  <si>
    <t>Chú thích</t>
  </si>
  <si>
    <t>Tuyên Quang</t>
  </si>
  <si>
    <t>58/2026/NQ-HĐND ngày 26/6/2026</t>
  </si>
  <si>
    <t>70%</t>
  </si>
  <si>
    <t>Các đối tượng khác mức hỗ trợ 70% so với hộ nghèo, hộ cận nghèo</t>
  </si>
  <si>
    <t>Định mức tối đa/đối tượng</t>
  </si>
  <si>
    <t>Quảng Ngãi</t>
  </si>
  <si>
    <t>73/2026/NQ-HĐND ngày 17/7/2026</t>
  </si>
  <si>
    <t>Vĩnh Long</t>
  </si>
  <si>
    <t>34/2026/NQ-HĐND ngày 15/7/2026</t>
  </si>
  <si>
    <t>Không đưa ra định mức mà quy định tỷ lệ % theo từng nhóm đối tượng</t>
  </si>
  <si>
    <t>Điện Biên</t>
  </si>
  <si>
    <t>21/2026/NQ-HĐND ngày 16/7/2026</t>
  </si>
  <si>
    <t>Không xác định mức hỗ trợ tối đa mà phụ thuộc vào dự toán được giao</t>
  </si>
  <si>
    <t>Thanh Hóa</t>
  </si>
  <si>
    <t>08/2026/NQ-HĐND ngày 27/5/2026</t>
  </si>
  <si>
    <t>NSTW</t>
  </si>
  <si>
    <t>Thực hiện 2021 - 2025 (Triệu đồng)</t>
  </si>
  <si>
    <t>Trong đó</t>
  </si>
  <si>
    <t>Thực hiện 2022 (Triệu đồng)</t>
  </si>
  <si>
    <t>Thực hiện 2023 (Triệu đồng)</t>
  </si>
  <si>
    <t>Thực hiện 2024 (Triệu đồng)</t>
  </si>
  <si>
    <t>Thực hiện 2025 (Triệu đồng)</t>
  </si>
  <si>
    <t>Ngân sách TƯ</t>
  </si>
  <si>
    <t>Tổng cộng</t>
  </si>
  <si>
    <t>Tổng phân bổ giai đoạn 2021-2025</t>
  </si>
  <si>
    <t>Tổng phân bổ năm 2022</t>
  </si>
  <si>
    <t>Tổng phân bổ năm 2023</t>
  </si>
  <si>
    <t>Tổng phân bổ năm 2024</t>
  </si>
  <si>
    <t>Tổng phân bổ năm 2025</t>
  </si>
  <si>
    <t>Sở Lao động-Thương binh và Xã hội</t>
  </si>
  <si>
    <t>Hội phụ nữ tỉnh</t>
  </si>
  <si>
    <t>Hội Nông dân tỉnh</t>
  </si>
  <si>
    <t xml:space="preserve">A </t>
  </si>
  <si>
    <t>Chương trình MTQG giảm nghèo bền vững</t>
  </si>
  <si>
    <t>Hội cựu chiến binh</t>
  </si>
  <si>
    <t>TP. Phan Rang-Tháp Chàm</t>
  </si>
  <si>
    <t>Huyện Ninh Phước</t>
  </si>
  <si>
    <t>Huyện Ninh Hải</t>
  </si>
  <si>
    <t>Huyện Thuận Nam</t>
  </si>
  <si>
    <t>Huyện Thuận Bắc</t>
  </si>
  <si>
    <t>Huyện Ninh Sơn</t>
  </si>
  <si>
    <t>Huyện Bác Ái</t>
  </si>
  <si>
    <t>Nha Trang</t>
  </si>
  <si>
    <t>Cam Ranh</t>
  </si>
  <si>
    <t>Ninh Hòa</t>
  </si>
  <si>
    <t>Vạn Ninh</t>
  </si>
  <si>
    <t>Diên Khánh</t>
  </si>
  <si>
    <t>Cam Lâm</t>
  </si>
  <si>
    <t>Khánh Vĩnh</t>
  </si>
  <si>
    <t>Khánh Sơn</t>
  </si>
  <si>
    <t>III</t>
  </si>
  <si>
    <t>Xã Bác Ái</t>
  </si>
  <si>
    <t>Xã Bác Ái Đông</t>
  </si>
  <si>
    <t>Xã Bác Ái Tây</t>
  </si>
  <si>
    <t>Xã Lâm Sơn</t>
  </si>
  <si>
    <t>Xã Mỹ Sơn</t>
  </si>
  <si>
    <t>Xã Xuân Hải</t>
  </si>
  <si>
    <t>Xã Ninh Hải</t>
  </si>
  <si>
    <t>Xã Vĩnh Hải</t>
  </si>
  <si>
    <t>Xã Thuận Bắc</t>
  </si>
  <si>
    <t>Xã Công Hải</t>
  </si>
  <si>
    <t>Xã Ninh Phước</t>
  </si>
  <si>
    <t>Xã Phước Hữu</t>
  </si>
  <si>
    <t>Xã Phước Hậu</t>
  </si>
  <si>
    <t>Xã Thuận Nam</t>
  </si>
  <si>
    <t>Xã Phước Hà</t>
  </si>
  <si>
    <t>Xã Phước Dinh</t>
  </si>
  <si>
    <t>Phường Phan Rang</t>
  </si>
  <si>
    <t>Phường Đông Hải</t>
  </si>
  <si>
    <t>Phường Ninh Chữ</t>
  </si>
  <si>
    <t>Phường Bảo An</t>
  </si>
  <si>
    <t>Phường Đô Vinh</t>
  </si>
  <si>
    <t>B</t>
  </si>
  <si>
    <t>CẤP HUYỆN (trước sáp nhập)</t>
  </si>
  <si>
    <t>Huyện Khánh Sơn</t>
  </si>
  <si>
    <t>Huyện Khánh Vĩnh</t>
  </si>
  <si>
    <t>Huyện Cam Lâm</t>
  </si>
  <si>
    <t>Huyện Diên Khánh</t>
  </si>
  <si>
    <t>Thị xã Ninh Hòa</t>
  </si>
  <si>
    <t>CẤP XÃ (sau sáp nhập)</t>
  </si>
  <si>
    <t>Xã Trung Khánh Vĩnh</t>
  </si>
  <si>
    <t>Xã Tây Khánh Vĩnh</t>
  </si>
  <si>
    <t>Xã Nam Khánh Vĩnh</t>
  </si>
  <si>
    <t>Xã Khánh Vĩnh</t>
  </si>
  <si>
    <t>Xã Bắc Khánh Vĩnh</t>
  </si>
  <si>
    <t>Xã Khánh Sơn</t>
  </si>
  <si>
    <t>Xã Tây Khánh Sơn</t>
  </si>
  <si>
    <t>Xã Đông Khánh Sơn</t>
  </si>
  <si>
    <t>Xã Diên Thọ</t>
  </si>
  <si>
    <t>Xã Suối Hiệp</t>
  </si>
  <si>
    <t xml:space="preserve">Xã Bác Ái Đông </t>
  </si>
  <si>
    <t>Xã Anh Dũng</t>
  </si>
  <si>
    <t xml:space="preserve">Xã Thuận Bắc </t>
  </si>
  <si>
    <t xml:space="preserve">Xã Ninh Hải </t>
  </si>
  <si>
    <t>Xã Suối Dầu</t>
  </si>
  <si>
    <t>Xã Cam Hiệp</t>
  </si>
  <si>
    <t>Xã Cam An</t>
  </si>
  <si>
    <t>Xã  Mỹ Sơn</t>
  </si>
  <si>
    <t>Chương trình mục tiêu quốc gia phát triển kinh tế - xã hội vùng đồng bào DTTS&amp;MN</t>
  </si>
  <si>
    <t>TỔNG CỘNG = A+B</t>
  </si>
  <si>
    <t>TỔNG HỢP KINH PHÍ THỰC HIỆN HỖ TRỢ PHÁT TRIỂN SẢN XUẤT, NHÂN RỘNG MÔ HÌNH GIẢM NGHÈO THUỘC CÁC CHƯƠNG TRÌNH MỤC TIÊU QUỐC GIA GIAI ĐOẠN 2021 - 2025</t>
  </si>
  <si>
    <t xml:space="preserve">HỢP PHẦN 1. </t>
  </si>
  <si>
    <t>Xã Tu Bông</t>
  </si>
  <si>
    <t>Xã Vạn Thắng</t>
  </si>
  <si>
    <t>Xã Vạn Hưng</t>
  </si>
  <si>
    <t>Xã Bắc Ninh Hòa</t>
  </si>
  <si>
    <t>HỢP PHẦN 2</t>
  </si>
  <si>
    <t>Xã Nam Cam Ranh</t>
  </si>
  <si>
    <t>Xã Tây Ninh Hòa</t>
  </si>
  <si>
    <t>Xã Nam Khánh vĩnh</t>
  </si>
  <si>
    <t>Xã Ninh sơn</t>
  </si>
  <si>
    <t>Phường Cam Ranh</t>
  </si>
  <si>
    <t>Xã Hòa Trí</t>
  </si>
  <si>
    <t>đơn vị tính: triệu đồng</t>
  </si>
  <si>
    <t>Thực hiện 2026-2030</t>
  </si>
  <si>
    <t>Thực hiện 2026</t>
  </si>
  <si>
    <t>Thực hiện 2027</t>
  </si>
  <si>
    <t>Thực hiện 2028</t>
  </si>
  <si>
    <t>Thực hiện 2029</t>
  </si>
  <si>
    <t>Thực hiện 2030</t>
  </si>
  <si>
    <t>Xã Tân Định</t>
  </si>
  <si>
    <t>Xã Nam Ninh Hòa</t>
  </si>
  <si>
    <t>Xã Diên Điền</t>
  </si>
  <si>
    <t>Xã Ninh Sơn</t>
  </si>
  <si>
    <t>Phường Đông Ninh Hòa</t>
  </si>
  <si>
    <t>Phường Ninh Hòa</t>
  </si>
  <si>
    <t>Phường Hòa Thắng</t>
  </si>
  <si>
    <t>BẢNG TỔNG HỢP DỰ KIẾN KINH PHÍ XÂY DỰNG VÀ NHÂN RỘNG CÁC MÔ HÌNH SINH KẾ THUỘC CHƯƠNG TRÌNH MỤC TIÊU QUỐC GIA XÂY DỰNG NÔNG THÔN MỚI, GIẢM NGHÈO BỀN VỮNG
VÀ PHÁT TRIỂN KINH TẾ- XÃ HỘI VÙNG ĐỒNG BÀO DTTS&amp;MN GIAI ĐOẠN 2026-2030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</si>
</sst>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 _₫_-;\-* #,##0.00\ _₫_-;_-* &quot;-&quot;??\ _₫_-;_-@_-"/>
    <numFmt numFmtId="165" formatCode="_(* #,##0.00_);_(* \(#,##0.00\);_(* &quot;-&quot;???_);_(@_)"/>
    <numFmt numFmtId="166" formatCode="_(* #,##0.00_);_(* \(#,##0.00\);_(* &quot;-&quot;_);_(@_)"/>
  </numFmts>
  <fonts count="19" x14ac:knownFonts="1">
    <font>
      <sz val="11"/>
      <color theme="1"/>
      <name val="Calibri"/>
      <family val="2"/>
      <scheme val="minor"/>
    </font>
    <font>
      <sz val="12"/>
      <color theme="1"/>
      <name val="Times New Roman"/>
      <family val="1"/>
    </font>
    <font>
      <b/>
      <sz val="12"/>
      <color theme="1"/>
      <name val="Times New Roman"/>
      <family val="1"/>
    </font>
    <font>
      <sz val="11"/>
      <color theme="1"/>
      <name val="Calibri"/>
      <family val="2"/>
      <charset val="163"/>
      <scheme val="minor"/>
    </font>
    <font>
      <sz val="11"/>
      <color theme="1"/>
      <name val="Calibri"/>
      <family val="2"/>
      <scheme val="minor"/>
    </font>
    <font>
      <sz val="12"/>
      <color theme="1"/>
      <name val="Times New Roman"/>
      <family val="2"/>
    </font>
    <font>
      <sz val="11"/>
      <color theme="1"/>
      <name val="Arial"/>
      <family val="2"/>
    </font>
    <font>
      <sz val="12"/>
      <color theme="1"/>
      <name val="Times New Roman"/>
      <family val="2"/>
      <charset val="163"/>
    </font>
    <font>
      <sz val="11"/>
      <color theme="1"/>
      <name val="Times New Roman"/>
      <family val="1"/>
    </font>
    <font>
      <b/>
      <sz val="11"/>
      <color theme="1"/>
      <name val="Times New Roman"/>
      <family val="1"/>
    </font>
    <font>
      <b/>
      <sz val="12"/>
      <color rgb="FFFF0000"/>
      <name val="Times New Roman"/>
      <family val="1"/>
    </font>
    <font>
      <sz val="10"/>
      <color theme="1"/>
      <name val="Times New Roman"/>
      <family val="1"/>
    </font>
    <font>
      <b/>
      <sz val="10"/>
      <color theme="1"/>
      <name val="Times New Roman"/>
      <family val="1"/>
    </font>
    <font>
      <b/>
      <sz val="12"/>
      <name val="Times New Roman"/>
      <family val="1"/>
    </font>
    <font>
      <b/>
      <sz val="11"/>
      <color theme="1"/>
      <name val="Calibri"/>
      <family val="2"/>
      <scheme val="minor"/>
    </font>
    <font>
      <sz val="10"/>
      <color theme="1"/>
      <name val="Calibri"/>
      <family val="2"/>
      <scheme val="minor"/>
    </font>
    <font>
      <i/>
      <sz val="12"/>
      <color theme="1"/>
      <name val="Times New Roman"/>
      <family val="1"/>
    </font>
    <font>
      <sz val="10"/>
      <name val="Arial"/>
      <family val="2"/>
    </font>
    <font>
      <sz val="10"/>
      <name val="Times New Roman"/>
      <family val="1"/>
    </font>
  </fonts>
  <fills count="6">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2" tint="-0.249977111117893"/>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xf numFmtId="0" fontId="3" fillId="0" borderId="0"/>
    <xf numFmtId="164" fontId="3" fillId="0" borderId="0" applyFont="0" applyFill="0" applyBorder="0" applyAlignment="0" applyProtection="0"/>
    <xf numFmtId="0" fontId="5" fillId="0" borderId="0"/>
    <xf numFmtId="0" fontId="6" fillId="0" borderId="0"/>
    <xf numFmtId="0" fontId="7" fillId="0" borderId="0"/>
    <xf numFmtId="43" fontId="4" fillId="0" borderId="0" applyFont="0" applyFill="0" applyBorder="0" applyAlignment="0" applyProtection="0"/>
    <xf numFmtId="0" fontId="17" fillId="0" borderId="0"/>
  </cellStyleXfs>
  <cellXfs count="111">
    <xf numFmtId="0" fontId="0" fillId="0" borderId="0" xfId="0"/>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vertical="center"/>
    </xf>
    <xf numFmtId="0" fontId="2" fillId="0" borderId="0" xfId="0" applyFont="1" applyAlignment="1">
      <alignment vertical="center"/>
    </xf>
    <xf numFmtId="0" fontId="1" fillId="0" borderId="2" xfId="0" applyFont="1"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xf numFmtId="0" fontId="2" fillId="0" borderId="1" xfId="0" applyFont="1" applyBorder="1" applyAlignment="1">
      <alignment horizontal="center" vertical="center" wrapText="1"/>
    </xf>
    <xf numFmtId="3" fontId="1" fillId="0" borderId="1" xfId="0" applyNumberFormat="1" applyFont="1" applyBorder="1"/>
    <xf numFmtId="3" fontId="0" fillId="0" borderId="1" xfId="0" applyNumberFormat="1" applyBorder="1"/>
    <xf numFmtId="0" fontId="8" fillId="0" borderId="1" xfId="0" applyFont="1" applyBorder="1"/>
    <xf numFmtId="0" fontId="1" fillId="0" borderId="1" xfId="0" applyFont="1" applyBorder="1" applyAlignment="1">
      <alignment wrapText="1"/>
    </xf>
    <xf numFmtId="3" fontId="1" fillId="0" borderId="1" xfId="0" quotePrefix="1" applyNumberFormat="1" applyFont="1" applyBorder="1" applyAlignment="1">
      <alignment horizontal="right"/>
    </xf>
    <xf numFmtId="0" fontId="10" fillId="0" borderId="0" xfId="0" applyFont="1" applyAlignment="1">
      <alignment horizontal="center" vertical="center" wrapText="1"/>
    </xf>
    <xf numFmtId="0" fontId="11" fillId="0" borderId="0" xfId="0" applyFont="1" applyAlignment="1">
      <alignment vertical="center" wrapText="1"/>
    </xf>
    <xf numFmtId="0" fontId="12" fillId="0" borderId="0" xfId="0" applyFont="1" applyAlignment="1">
      <alignment vertical="center"/>
    </xf>
    <xf numFmtId="43" fontId="12" fillId="0" borderId="0" xfId="0" applyNumberFormat="1" applyFont="1" applyAlignment="1">
      <alignment vertical="center"/>
    </xf>
    <xf numFmtId="0" fontId="11" fillId="0" borderId="2" xfId="0" applyFont="1" applyBorder="1" applyAlignment="1">
      <alignment vertical="center" wrapText="1"/>
    </xf>
    <xf numFmtId="0" fontId="12" fillId="0" borderId="1" xfId="0" applyFont="1" applyBorder="1" applyAlignment="1">
      <alignment horizontal="center" vertical="center" wrapText="1"/>
    </xf>
    <xf numFmtId="165" fontId="12" fillId="0" borderId="0" xfId="0" applyNumberFormat="1" applyFont="1" applyAlignment="1">
      <alignment vertical="center"/>
    </xf>
    <xf numFmtId="43" fontId="11" fillId="0" borderId="0" xfId="0" applyNumberFormat="1" applyFont="1" applyAlignment="1">
      <alignment vertical="center" wrapText="1"/>
    </xf>
    <xf numFmtId="0" fontId="2" fillId="0" borderId="1" xfId="0" applyFont="1" applyBorder="1" applyAlignment="1">
      <alignment horizontal="center" vertical="center" wrapText="1"/>
    </xf>
    <xf numFmtId="165" fontId="2" fillId="2" borderId="1" xfId="0" applyNumberFormat="1" applyFont="1" applyFill="1" applyBorder="1" applyAlignment="1">
      <alignment vertical="center" wrapText="1"/>
    </xf>
    <xf numFmtId="165" fontId="2" fillId="2" borderId="1" xfId="6" applyNumberFormat="1" applyFont="1" applyFill="1" applyBorder="1" applyAlignment="1">
      <alignment horizontal="right" vertical="center" wrapText="1"/>
    </xf>
    <xf numFmtId="165" fontId="12" fillId="2" borderId="1" xfId="6" applyNumberFormat="1" applyFont="1" applyFill="1" applyBorder="1" applyAlignment="1">
      <alignment horizontal="right" vertical="center" wrapText="1"/>
    </xf>
    <xf numFmtId="166" fontId="12" fillId="0" borderId="1" xfId="6" applyNumberFormat="1" applyFont="1" applyBorder="1" applyAlignment="1">
      <alignment horizontal="right" vertical="center" wrapText="1"/>
    </xf>
    <xf numFmtId="166" fontId="11" fillId="0" borderId="1" xfId="6" applyNumberFormat="1" applyFont="1" applyBorder="1" applyAlignment="1">
      <alignment vertical="center" wrapText="1"/>
    </xf>
    <xf numFmtId="166" fontId="12" fillId="0" borderId="1" xfId="6" applyNumberFormat="1" applyFont="1" applyBorder="1" applyAlignment="1">
      <alignment vertical="center" wrapText="1"/>
    </xf>
    <xf numFmtId="166" fontId="11" fillId="0" borderId="1" xfId="0" applyNumberFormat="1" applyFont="1" applyBorder="1" applyAlignment="1">
      <alignment vertical="center" wrapText="1"/>
    </xf>
    <xf numFmtId="166" fontId="12" fillId="0" borderId="1" xfId="0" applyNumberFormat="1" applyFont="1" applyBorder="1" applyAlignment="1">
      <alignment vertical="center" wrapText="1"/>
    </xf>
    <xf numFmtId="166" fontId="12" fillId="3" borderId="1" xfId="6" applyNumberFormat="1" applyFont="1" applyFill="1" applyBorder="1" applyAlignment="1">
      <alignment horizontal="right" vertical="center" wrapText="1"/>
    </xf>
    <xf numFmtId="0" fontId="2" fillId="3" borderId="1" xfId="0" applyFont="1" applyFill="1" applyBorder="1" applyAlignment="1">
      <alignment horizontal="center" vertical="center" wrapText="1"/>
    </xf>
    <xf numFmtId="165" fontId="2" fillId="3" borderId="1" xfId="6" applyNumberFormat="1" applyFont="1" applyFill="1" applyBorder="1" applyAlignment="1">
      <alignment horizontal="right" vertical="center" wrapText="1"/>
    </xf>
    <xf numFmtId="165" fontId="1" fillId="0" borderId="1" xfId="0" applyNumberFormat="1" applyFont="1" applyFill="1" applyBorder="1" applyAlignment="1">
      <alignment vertical="center" wrapText="1"/>
    </xf>
    <xf numFmtId="165" fontId="1" fillId="0" borderId="1" xfId="6" applyNumberFormat="1" applyFont="1" applyFill="1" applyBorder="1" applyAlignment="1">
      <alignment horizontal="right" vertical="center" wrapText="1"/>
    </xf>
    <xf numFmtId="165" fontId="2" fillId="3" borderId="1" xfId="0" applyNumberFormat="1" applyFont="1" applyFill="1" applyBorder="1" applyAlignment="1">
      <alignment vertical="center" wrapText="1"/>
    </xf>
    <xf numFmtId="3" fontId="2" fillId="3" borderId="1" xfId="0" applyNumberFormat="1" applyFont="1" applyFill="1" applyBorder="1" applyAlignment="1">
      <alignment horizontal="center" vertical="center" wrapText="1"/>
    </xf>
    <xf numFmtId="3" fontId="2" fillId="3" borderId="1" xfId="0" applyNumberFormat="1" applyFont="1" applyFill="1" applyBorder="1" applyAlignment="1">
      <alignment vertical="center" wrapText="1"/>
    </xf>
    <xf numFmtId="3" fontId="2" fillId="0" borderId="1" xfId="0" applyNumberFormat="1" applyFont="1" applyBorder="1" applyAlignment="1">
      <alignment horizontal="center" vertical="center" wrapText="1"/>
    </xf>
    <xf numFmtId="3" fontId="2" fillId="0" borderId="1" xfId="0" applyNumberFormat="1" applyFont="1" applyBorder="1" applyAlignment="1">
      <alignment vertical="center" wrapText="1"/>
    </xf>
    <xf numFmtId="3" fontId="1" fillId="0" borderId="1" xfId="0" applyNumberFormat="1" applyFont="1" applyBorder="1" applyAlignment="1">
      <alignment horizontal="center" vertical="center" wrapText="1"/>
    </xf>
    <xf numFmtId="3" fontId="1" fillId="0" borderId="1" xfId="0" applyNumberFormat="1" applyFont="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66" fontId="11" fillId="0" borderId="1" xfId="6" applyNumberFormat="1" applyFont="1" applyFill="1" applyBorder="1" applyAlignment="1">
      <alignment vertical="center" wrapText="1"/>
    </xf>
    <xf numFmtId="0" fontId="8" fillId="0" borderId="0" xfId="0" applyFont="1" applyFill="1" applyAlignment="1">
      <alignment vertical="center" wrapText="1"/>
    </xf>
    <xf numFmtId="166" fontId="11" fillId="0" borderId="1" xfId="0" applyNumberFormat="1" applyFont="1" applyFill="1" applyBorder="1" applyAlignment="1">
      <alignment vertical="center" wrapText="1"/>
    </xf>
    <xf numFmtId="165" fontId="2" fillId="0" borderId="1" xfId="0" applyNumberFormat="1" applyFont="1" applyFill="1" applyBorder="1" applyAlignment="1">
      <alignment vertical="center" wrapText="1"/>
    </xf>
    <xf numFmtId="165" fontId="2" fillId="0" borderId="1" xfId="6" applyNumberFormat="1" applyFont="1" applyFill="1" applyBorder="1" applyAlignment="1">
      <alignment horizontal="right" vertical="center" wrapText="1"/>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4" fillId="0" borderId="0" xfId="0" applyFont="1"/>
    <xf numFmtId="0" fontId="11" fillId="0" borderId="1" xfId="0" applyFont="1" applyBorder="1" applyAlignment="1">
      <alignment horizontal="center" vertical="center"/>
    </xf>
    <xf numFmtId="0" fontId="15" fillId="0" borderId="0" xfId="0" applyFont="1"/>
    <xf numFmtId="0" fontId="0" fillId="0" borderId="0" xfId="0" applyFont="1"/>
    <xf numFmtId="0" fontId="1" fillId="0" borderId="0" xfId="0" applyFont="1" applyAlignment="1">
      <alignment vertical="center"/>
    </xf>
    <xf numFmtId="3" fontId="1" fillId="0" borderId="0" xfId="0" applyNumberFormat="1" applyFont="1" applyAlignment="1">
      <alignment horizontal="center" vertical="center"/>
    </xf>
    <xf numFmtId="3" fontId="12" fillId="0" borderId="1" xfId="0" applyNumberFormat="1" applyFont="1" applyBorder="1" applyAlignment="1">
      <alignment horizontal="center" vertical="center" wrapText="1"/>
    </xf>
    <xf numFmtId="3" fontId="12" fillId="2" borderId="1" xfId="0" applyNumberFormat="1" applyFont="1" applyFill="1" applyBorder="1" applyAlignment="1">
      <alignment horizontal="center" vertical="center" wrapText="1"/>
    </xf>
    <xf numFmtId="0" fontId="12" fillId="4" borderId="1" xfId="0" applyFont="1" applyFill="1" applyBorder="1" applyAlignment="1">
      <alignment horizontal="center" vertical="center" wrapText="1"/>
    </xf>
    <xf numFmtId="3" fontId="12" fillId="4" borderId="1" xfId="0" applyNumberFormat="1" applyFont="1" applyFill="1" applyBorder="1" applyAlignment="1">
      <alignment horizontal="center" vertical="center" wrapText="1"/>
    </xf>
    <xf numFmtId="0" fontId="11" fillId="0" borderId="1" xfId="0" applyFont="1" applyBorder="1" applyAlignment="1">
      <alignment horizontal="left" vertical="center" wrapText="1"/>
    </xf>
    <xf numFmtId="3" fontId="11" fillId="0" borderId="1" xfId="0" applyNumberFormat="1" applyFont="1" applyBorder="1" applyAlignment="1">
      <alignment horizontal="center" vertical="center" wrapText="1"/>
    </xf>
    <xf numFmtId="3" fontId="11" fillId="0" borderId="7" xfId="0" applyNumberFormat="1" applyFont="1" applyBorder="1" applyAlignment="1">
      <alignment horizontal="center" vertical="center" wrapText="1"/>
    </xf>
    <xf numFmtId="3" fontId="11" fillId="0" borderId="0" xfId="0" applyNumberFormat="1" applyFont="1" applyAlignment="1">
      <alignment horizontal="center" vertical="center"/>
    </xf>
    <xf numFmtId="0" fontId="12" fillId="4" borderId="1" xfId="0" applyFont="1" applyFill="1" applyBorder="1" applyAlignment="1">
      <alignment vertical="center" wrapText="1"/>
    </xf>
    <xf numFmtId="3" fontId="11" fillId="0" borderId="1" xfId="6" applyNumberFormat="1" applyFont="1" applyBorder="1" applyAlignment="1">
      <alignment horizontal="center" vertical="center" wrapText="1"/>
    </xf>
    <xf numFmtId="3" fontId="11" fillId="0" borderId="1" xfId="0" applyNumberFormat="1" applyFont="1" applyBorder="1" applyAlignment="1">
      <alignment horizontal="center" vertical="center"/>
    </xf>
    <xf numFmtId="0" fontId="18" fillId="5" borderId="1" xfId="0"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18" fillId="0" borderId="1" xfId="0" applyFont="1" applyBorder="1" applyAlignment="1">
      <alignment horizontal="center" vertical="center" wrapText="1"/>
    </xf>
    <xf numFmtId="3" fontId="11" fillId="0" borderId="1" xfId="6" applyNumberFormat="1" applyFont="1" applyFill="1" applyBorder="1" applyAlignment="1">
      <alignment horizontal="center" vertical="center" wrapText="1"/>
    </xf>
    <xf numFmtId="3" fontId="18" fillId="0" borderId="1" xfId="7" applyNumberFormat="1" applyFont="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0" fontId="1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3" fontId="12" fillId="0" borderId="1" xfId="0" applyNumberFormat="1" applyFont="1" applyBorder="1" applyAlignment="1">
      <alignment horizontal="center" vertical="center" wrapText="1"/>
    </xf>
    <xf numFmtId="3" fontId="12" fillId="0" borderId="6" xfId="0" applyNumberFormat="1" applyFont="1" applyBorder="1" applyAlignment="1">
      <alignment horizontal="center" vertical="center" wrapText="1"/>
    </xf>
    <xf numFmtId="3" fontId="12" fillId="0" borderId="7" xfId="0" applyNumberFormat="1" applyFont="1" applyBorder="1" applyAlignment="1">
      <alignment horizontal="center" vertical="center" wrapText="1"/>
    </xf>
    <xf numFmtId="3" fontId="12" fillId="0" borderId="3" xfId="0" applyNumberFormat="1" applyFont="1" applyBorder="1" applyAlignment="1">
      <alignment horizontal="center" vertical="center" wrapText="1"/>
    </xf>
    <xf numFmtId="3" fontId="12" fillId="0" borderId="4" xfId="0" applyNumberFormat="1" applyFont="1" applyBorder="1" applyAlignment="1">
      <alignment horizontal="center" vertical="center" wrapText="1"/>
    </xf>
    <xf numFmtId="3" fontId="12" fillId="0" borderId="5" xfId="0" applyNumberFormat="1" applyFont="1" applyBorder="1" applyAlignment="1">
      <alignment horizontal="center" vertical="center" wrapText="1"/>
    </xf>
    <xf numFmtId="0" fontId="13" fillId="0" borderId="0" xfId="0" applyFont="1" applyAlignment="1">
      <alignment horizontal="center" vertical="center"/>
    </xf>
    <xf numFmtId="0" fontId="2" fillId="0" borderId="0" xfId="0" applyFont="1" applyAlignment="1">
      <alignment horizontal="center" vertical="center" wrapText="1"/>
    </xf>
    <xf numFmtId="3" fontId="16" fillId="0" borderId="0" xfId="0" applyNumberFormat="1" applyFont="1" applyAlignment="1">
      <alignment horizontal="right"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cellXfs>
  <cellStyles count="8">
    <cellStyle name="Bình thường" xfId="0" builtinId="0"/>
    <cellStyle name="Comma 2" xfId="2" xr:uid="{00000000-0005-0000-0000-000000000000}"/>
    <cellStyle name="Dấu phẩy" xfId="6" builtinId="3"/>
    <cellStyle name="Normal 2" xfId="1" xr:uid="{00000000-0005-0000-0000-000002000000}"/>
    <cellStyle name="Normal 2 2" xfId="5" xr:uid="{94415DFD-3325-4A35-AEF0-E22AF3A519F4}"/>
    <cellStyle name="Normal 3" xfId="3" xr:uid="{4052A233-D2B8-4D40-A5C5-00B12592FF3C}"/>
    <cellStyle name="Normal 4" xfId="4" xr:uid="{DDEE3F93-CECC-4223-ADFB-26F36DBFBEF3}"/>
    <cellStyle name="Normal_Bieu mau (CV )" xfId="7" xr:uid="{137F2353-742B-4E5D-9481-06834FD5005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QUYEN/du%20lieu%20may%20cquan/Du%20Lieu/KINH%20PH&#205;/2021-2025/2024/2024/&#272;I&#7872;U%20CH&#7880;NH%20L&#7846;N%20CU&#7888;I/BAN-PHAN-B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ow r="31">
          <cell r="C31">
            <v>5006</v>
          </cell>
        </row>
        <row r="41">
          <cell r="C41">
            <v>2028</v>
          </cell>
        </row>
      </sheetData>
      <sheetData sheetId="1"/>
      <sheetData sheetId="2"/>
    </sheetDataSet>
  </externalBook>
</externalLink>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C39D4-F320-4AFF-B07C-E2952FCFE342}">
  <dimension ref="A1:AA92"/>
  <sheetViews>
    <sheetView topLeftCell="C25" zoomScale="90" zoomScaleNormal="90" workbookViewId="0">
      <selection activeCell="M51" sqref="M51"/>
    </sheetView>
  </sheetViews>
  <sheetFormatPr defaultColWidth="8.85546875" defaultRowHeight="15" x14ac:dyDescent="0.25"/>
  <cols>
    <col min="1" max="1" width="4.5703125" style="4" customWidth="1"/>
    <col min="2" max="2" width="25.42578125" style="5" customWidth="1"/>
    <col min="3" max="3" width="16.5703125" style="5" customWidth="1"/>
    <col min="4" max="5" width="14.5703125" style="5" customWidth="1"/>
    <col min="6" max="7" width="12.7109375" style="5" customWidth="1"/>
    <col min="8" max="8" width="10.7109375" style="20" customWidth="1"/>
    <col min="9" max="9" width="13.140625" style="20" customWidth="1"/>
    <col min="10" max="27" width="10.7109375" style="20" customWidth="1"/>
    <col min="28" max="28" width="9.42578125" style="5" bestFit="1" customWidth="1"/>
    <col min="29" max="16384" width="8.85546875" style="5"/>
  </cols>
  <sheetData>
    <row r="1" spans="1:27" x14ac:dyDescent="0.25">
      <c r="A1" s="5"/>
    </row>
    <row r="2" spans="1:27" ht="15.75" x14ac:dyDescent="0.25">
      <c r="A2" s="87" t="s">
        <v>12</v>
      </c>
      <c r="B2" s="87"/>
      <c r="C2" s="19"/>
      <c r="N2" s="26"/>
    </row>
    <row r="3" spans="1:27" s="7" customFormat="1" ht="15.75" x14ac:dyDescent="0.25">
      <c r="A3" s="8"/>
      <c r="B3" s="8" t="s">
        <v>135</v>
      </c>
      <c r="C3" s="8"/>
      <c r="D3" s="8"/>
      <c r="E3" s="8"/>
      <c r="F3" s="8"/>
      <c r="G3" s="8"/>
      <c r="H3" s="21"/>
      <c r="I3" s="21"/>
      <c r="J3" s="21"/>
      <c r="K3" s="22"/>
      <c r="L3" s="22"/>
      <c r="M3" s="21"/>
      <c r="N3" s="21"/>
      <c r="O3" s="21"/>
      <c r="P3" s="25"/>
      <c r="Q3" s="21"/>
      <c r="R3" s="22"/>
      <c r="S3" s="22"/>
      <c r="T3" s="21"/>
      <c r="U3" s="25"/>
      <c r="V3" s="21"/>
      <c r="W3" s="21"/>
      <c r="X3" s="21"/>
      <c r="Y3" s="21"/>
      <c r="Z3" s="21"/>
      <c r="AA3" s="21"/>
    </row>
    <row r="4" spans="1:27" ht="15.75" x14ac:dyDescent="0.25">
      <c r="A4" s="9"/>
      <c r="B4" s="9"/>
      <c r="C4" s="9"/>
      <c r="D4" s="9"/>
      <c r="E4" s="9"/>
      <c r="F4" s="9"/>
      <c r="G4" s="9"/>
      <c r="H4" s="23"/>
      <c r="I4" s="23"/>
      <c r="J4" s="23"/>
      <c r="K4" s="23"/>
      <c r="L4" s="23"/>
      <c r="M4" s="23"/>
      <c r="N4" s="23"/>
      <c r="O4" s="23"/>
      <c r="P4" s="23"/>
      <c r="Q4" s="23"/>
      <c r="R4" s="23"/>
      <c r="S4" s="23"/>
      <c r="T4" s="23"/>
      <c r="U4" s="23"/>
      <c r="V4" s="23"/>
      <c r="W4" s="23"/>
      <c r="X4" s="23"/>
      <c r="Y4" s="23"/>
      <c r="Z4" s="23"/>
      <c r="AA4" s="23"/>
    </row>
    <row r="5" spans="1:27" s="6" customFormat="1" ht="28.9" customHeight="1" x14ac:dyDescent="0.25">
      <c r="A5" s="88" t="s">
        <v>2</v>
      </c>
      <c r="B5" s="88" t="s">
        <v>5</v>
      </c>
      <c r="C5" s="82" t="s">
        <v>59</v>
      </c>
      <c r="D5" s="88" t="s">
        <v>51</v>
      </c>
      <c r="E5" s="88"/>
      <c r="F5" s="88"/>
      <c r="G5" s="88"/>
      <c r="H5" s="84" t="s">
        <v>60</v>
      </c>
      <c r="I5" s="93" t="s">
        <v>53</v>
      </c>
      <c r="J5" s="93"/>
      <c r="K5" s="93"/>
      <c r="L5" s="93"/>
      <c r="M5" s="84" t="s">
        <v>61</v>
      </c>
      <c r="N5" s="93" t="s">
        <v>54</v>
      </c>
      <c r="O5" s="93"/>
      <c r="P5" s="93"/>
      <c r="Q5" s="93"/>
      <c r="R5" s="84" t="s">
        <v>62</v>
      </c>
      <c r="S5" s="93" t="s">
        <v>55</v>
      </c>
      <c r="T5" s="93"/>
      <c r="U5" s="93"/>
      <c r="V5" s="93"/>
      <c r="W5" s="84" t="s">
        <v>63</v>
      </c>
      <c r="X5" s="93" t="s">
        <v>56</v>
      </c>
      <c r="Y5" s="93"/>
      <c r="Z5" s="93"/>
      <c r="AA5" s="93"/>
    </row>
    <row r="6" spans="1:27" s="6" customFormat="1" ht="28.9" customHeight="1" x14ac:dyDescent="0.25">
      <c r="A6" s="88"/>
      <c r="B6" s="88"/>
      <c r="C6" s="92"/>
      <c r="D6" s="82" t="s">
        <v>58</v>
      </c>
      <c r="E6" s="89" t="s">
        <v>52</v>
      </c>
      <c r="F6" s="90"/>
      <c r="G6" s="91"/>
      <c r="H6" s="85"/>
      <c r="I6" s="84" t="s">
        <v>58</v>
      </c>
      <c r="J6" s="94" t="s">
        <v>52</v>
      </c>
      <c r="K6" s="95"/>
      <c r="L6" s="96"/>
      <c r="M6" s="85"/>
      <c r="N6" s="84" t="s">
        <v>58</v>
      </c>
      <c r="O6" s="94" t="s">
        <v>52</v>
      </c>
      <c r="P6" s="95"/>
      <c r="Q6" s="96"/>
      <c r="R6" s="85"/>
      <c r="S6" s="84" t="s">
        <v>58</v>
      </c>
      <c r="T6" s="94" t="s">
        <v>52</v>
      </c>
      <c r="U6" s="95"/>
      <c r="V6" s="96"/>
      <c r="W6" s="85"/>
      <c r="X6" s="84" t="s">
        <v>58</v>
      </c>
      <c r="Y6" s="94" t="s">
        <v>52</v>
      </c>
      <c r="Z6" s="95"/>
      <c r="AA6" s="96"/>
    </row>
    <row r="7" spans="1:27" s="6" customFormat="1" ht="31.5" x14ac:dyDescent="0.25">
      <c r="A7" s="88"/>
      <c r="B7" s="88"/>
      <c r="C7" s="83"/>
      <c r="D7" s="83"/>
      <c r="E7" s="13" t="s">
        <v>50</v>
      </c>
      <c r="F7" s="3" t="s">
        <v>3</v>
      </c>
      <c r="G7" s="3" t="s">
        <v>7</v>
      </c>
      <c r="H7" s="86"/>
      <c r="I7" s="85"/>
      <c r="J7" s="24" t="s">
        <v>50</v>
      </c>
      <c r="K7" s="24" t="s">
        <v>3</v>
      </c>
      <c r="L7" s="24" t="s">
        <v>7</v>
      </c>
      <c r="M7" s="86"/>
      <c r="N7" s="85"/>
      <c r="O7" s="24" t="s">
        <v>50</v>
      </c>
      <c r="P7" s="24" t="s">
        <v>3</v>
      </c>
      <c r="Q7" s="24" t="s">
        <v>7</v>
      </c>
      <c r="R7" s="86"/>
      <c r="S7" s="85"/>
      <c r="T7" s="24" t="s">
        <v>50</v>
      </c>
      <c r="U7" s="24" t="s">
        <v>3</v>
      </c>
      <c r="V7" s="24" t="s">
        <v>7</v>
      </c>
      <c r="W7" s="86"/>
      <c r="X7" s="85"/>
      <c r="Y7" s="24" t="s">
        <v>50</v>
      </c>
      <c r="Z7" s="24" t="s">
        <v>3</v>
      </c>
      <c r="AA7" s="24" t="s">
        <v>7</v>
      </c>
    </row>
    <row r="8" spans="1:27" s="6" customFormat="1" ht="24.75" customHeight="1" x14ac:dyDescent="0.25">
      <c r="A8" s="80" t="s">
        <v>134</v>
      </c>
      <c r="B8" s="81"/>
      <c r="C8" s="28">
        <f>H8+R8+W8+M8</f>
        <v>413489.58999999997</v>
      </c>
      <c r="D8" s="29">
        <f>SUM(E8:G8)</f>
        <v>276040.859</v>
      </c>
      <c r="E8" s="29">
        <f>J8+O8+T8+Y8</f>
        <v>254851.06099999999</v>
      </c>
      <c r="F8" s="29">
        <f>K8+P8+U8+Z8</f>
        <v>13979.117999999999</v>
      </c>
      <c r="G8" s="29">
        <f>L8+Q8+V8+AA8</f>
        <v>7210.68</v>
      </c>
      <c r="H8" s="30">
        <f t="shared" ref="H8:AA8" si="0">SUBTOTAL(9,H9:H92)</f>
        <v>28856.390000000003</v>
      </c>
      <c r="I8" s="30">
        <f t="shared" si="0"/>
        <v>16795.599999999999</v>
      </c>
      <c r="J8" s="30">
        <f t="shared" si="0"/>
        <v>13855.399999999998</v>
      </c>
      <c r="K8" s="30">
        <f t="shared" si="0"/>
        <v>2940.2</v>
      </c>
      <c r="L8" s="30">
        <f t="shared" si="0"/>
        <v>0</v>
      </c>
      <c r="M8" s="30">
        <f>SUBTOTAL(9,M9:M92)</f>
        <v>90992.699999999983</v>
      </c>
      <c r="N8" s="30">
        <f t="shared" si="0"/>
        <v>51517.729999999996</v>
      </c>
      <c r="O8" s="30">
        <f t="shared" si="0"/>
        <v>48472.239999999991</v>
      </c>
      <c r="P8" s="30">
        <f t="shared" si="0"/>
        <v>2288.79</v>
      </c>
      <c r="Q8" s="30">
        <f t="shared" si="0"/>
        <v>2486.7000000000003</v>
      </c>
      <c r="R8" s="30">
        <f t="shared" si="0"/>
        <v>189344.02000000002</v>
      </c>
      <c r="S8" s="30">
        <f t="shared" si="0"/>
        <v>125117.56</v>
      </c>
      <c r="T8" s="30">
        <f t="shared" si="0"/>
        <v>117917.18</v>
      </c>
      <c r="U8" s="30">
        <f t="shared" si="0"/>
        <v>4202.3999999999996</v>
      </c>
      <c r="V8" s="30">
        <f t="shared" si="0"/>
        <v>4531.9799999999996</v>
      </c>
      <c r="W8" s="30">
        <f>SUBTOTAL(9,W9:W92)</f>
        <v>104296.48</v>
      </c>
      <c r="X8" s="30">
        <f t="shared" si="0"/>
        <v>79345.968999999997</v>
      </c>
      <c r="Y8" s="30">
        <f t="shared" si="0"/>
        <v>74606.240999999995</v>
      </c>
      <c r="Z8" s="30">
        <f t="shared" si="0"/>
        <v>4547.7280000000001</v>
      </c>
      <c r="AA8" s="30">
        <f t="shared" si="0"/>
        <v>192</v>
      </c>
    </row>
    <row r="9" spans="1:27" s="6" customFormat="1" ht="32.25" customHeight="1" x14ac:dyDescent="0.25">
      <c r="A9" s="37" t="s">
        <v>67</v>
      </c>
      <c r="B9" s="37" t="s">
        <v>68</v>
      </c>
      <c r="C9" s="41">
        <f>H9+R9+W9+M9</f>
        <v>150256.78</v>
      </c>
      <c r="D9" s="38">
        <f t="shared" ref="D9:D72" si="1">SUM(E9:G9)</f>
        <v>121177.69600000001</v>
      </c>
      <c r="E9" s="38">
        <f t="shared" ref="E9:E72" si="2">J9+O9+T9+Y9</f>
        <v>108988.106</v>
      </c>
      <c r="F9" s="38">
        <f t="shared" ref="F9:F72" si="3">K9+P9+U9+Z9</f>
        <v>6762.99</v>
      </c>
      <c r="G9" s="38">
        <f t="shared" ref="G9:G72" si="4">L9+Q9+V9+AA9</f>
        <v>5426.6</v>
      </c>
      <c r="H9" s="36">
        <f>SUBTOTAL(9,H10:H52)</f>
        <v>17169.39</v>
      </c>
      <c r="I9" s="36">
        <f t="shared" ref="I9:AA9" si="5">SUBTOTAL(9,I10:I52)</f>
        <v>16795.599999999999</v>
      </c>
      <c r="J9" s="36">
        <f t="shared" si="5"/>
        <v>13855.399999999998</v>
      </c>
      <c r="K9" s="36">
        <f t="shared" si="5"/>
        <v>2940.2</v>
      </c>
      <c r="L9" s="36">
        <f t="shared" si="5"/>
        <v>0</v>
      </c>
      <c r="M9" s="36">
        <f t="shared" si="5"/>
        <v>40260.9</v>
      </c>
      <c r="N9" s="36">
        <f t="shared" si="5"/>
        <v>36912.35</v>
      </c>
      <c r="O9" s="36">
        <f t="shared" si="5"/>
        <v>33892.659999999996</v>
      </c>
      <c r="P9" s="36">
        <f t="shared" si="5"/>
        <v>2288.79</v>
      </c>
      <c r="Q9" s="36">
        <f t="shared" si="5"/>
        <v>2460.9</v>
      </c>
      <c r="R9" s="36">
        <f t="shared" si="5"/>
        <v>52098.49</v>
      </c>
      <c r="S9" s="36">
        <f t="shared" si="5"/>
        <v>43890.159999999996</v>
      </c>
      <c r="T9" s="36">
        <f t="shared" si="5"/>
        <v>41116.46</v>
      </c>
      <c r="U9" s="36">
        <f t="shared" si="5"/>
        <v>1534</v>
      </c>
      <c r="V9" s="36">
        <f t="shared" si="5"/>
        <v>2773.7</v>
      </c>
      <c r="W9" s="36">
        <f t="shared" si="5"/>
        <v>40728</v>
      </c>
      <c r="X9" s="36">
        <f t="shared" si="5"/>
        <v>20315.586000000003</v>
      </c>
      <c r="Y9" s="36">
        <f t="shared" si="5"/>
        <v>20123.586000000003</v>
      </c>
      <c r="Z9" s="36">
        <f t="shared" si="5"/>
        <v>0</v>
      </c>
      <c r="AA9" s="36">
        <f t="shared" si="5"/>
        <v>192</v>
      </c>
    </row>
    <row r="10" spans="1:27" s="6" customFormat="1" ht="15.75" x14ac:dyDescent="0.25">
      <c r="A10" s="27" t="s">
        <v>0</v>
      </c>
      <c r="B10" s="2" t="s">
        <v>6</v>
      </c>
      <c r="C10" s="53">
        <f t="shared" ref="C10:C73" si="6">H10+R10+W10+M10</f>
        <v>5977.09</v>
      </c>
      <c r="D10" s="54">
        <f t="shared" si="1"/>
        <v>5639.99</v>
      </c>
      <c r="E10" s="54">
        <f t="shared" si="2"/>
        <v>5079</v>
      </c>
      <c r="F10" s="54">
        <f t="shared" si="3"/>
        <v>560.99000000000024</v>
      </c>
      <c r="G10" s="54">
        <f t="shared" si="4"/>
        <v>0</v>
      </c>
      <c r="H10" s="31">
        <f>SUBTOTAL(9,H11:H14)</f>
        <v>1698.09</v>
      </c>
      <c r="I10" s="31">
        <f t="shared" ref="I10:AA10" si="7">SUBTOTAL(9,I11:I14)</f>
        <v>1445.2</v>
      </c>
      <c r="J10" s="31">
        <f t="shared" si="7"/>
        <v>1443</v>
      </c>
      <c r="K10" s="31">
        <f t="shared" si="7"/>
        <v>2.2000000000000455</v>
      </c>
      <c r="L10" s="31">
        <f t="shared" si="7"/>
        <v>0</v>
      </c>
      <c r="M10" s="31">
        <f t="shared" si="7"/>
        <v>4279</v>
      </c>
      <c r="N10" s="31">
        <f t="shared" si="7"/>
        <v>4194.79</v>
      </c>
      <c r="O10" s="31">
        <f t="shared" si="7"/>
        <v>3636</v>
      </c>
      <c r="P10" s="31">
        <f t="shared" si="7"/>
        <v>558.79000000000019</v>
      </c>
      <c r="Q10" s="31">
        <f t="shared" si="7"/>
        <v>0</v>
      </c>
      <c r="R10" s="31">
        <f t="shared" si="7"/>
        <v>0</v>
      </c>
      <c r="S10" s="31">
        <f t="shared" si="7"/>
        <v>0</v>
      </c>
      <c r="T10" s="31">
        <f t="shared" si="7"/>
        <v>0</v>
      </c>
      <c r="U10" s="31">
        <f t="shared" si="7"/>
        <v>0</v>
      </c>
      <c r="V10" s="31">
        <f t="shared" si="7"/>
        <v>0</v>
      </c>
      <c r="W10" s="31">
        <f t="shared" si="7"/>
        <v>0</v>
      </c>
      <c r="X10" s="31">
        <f t="shared" si="7"/>
        <v>0</v>
      </c>
      <c r="Y10" s="31">
        <f t="shared" si="7"/>
        <v>0</v>
      </c>
      <c r="Z10" s="31">
        <f t="shared" si="7"/>
        <v>0</v>
      </c>
      <c r="AA10" s="31">
        <f t="shared" si="7"/>
        <v>0</v>
      </c>
    </row>
    <row r="11" spans="1:27" ht="31.5" x14ac:dyDescent="0.25">
      <c r="A11" s="10">
        <v>1</v>
      </c>
      <c r="B11" s="1" t="s">
        <v>64</v>
      </c>
      <c r="C11" s="39">
        <f t="shared" si="6"/>
        <v>1698.09</v>
      </c>
      <c r="D11" s="40">
        <f t="shared" si="1"/>
        <v>1445.2</v>
      </c>
      <c r="E11" s="40">
        <f t="shared" si="2"/>
        <v>1443</v>
      </c>
      <c r="F11" s="40">
        <f t="shared" si="3"/>
        <v>2.2000000000000455</v>
      </c>
      <c r="G11" s="40">
        <f t="shared" si="4"/>
        <v>0</v>
      </c>
      <c r="H11" s="32">
        <v>1698.09</v>
      </c>
      <c r="I11" s="32">
        <f>SUM(J11:L11)</f>
        <v>1445.2</v>
      </c>
      <c r="J11" s="32">
        <v>1443</v>
      </c>
      <c r="K11" s="32">
        <f>1445.2-J11</f>
        <v>2.2000000000000455</v>
      </c>
      <c r="L11" s="32"/>
      <c r="M11" s="32"/>
      <c r="N11" s="32">
        <f>SUM(O11:Q11)</f>
        <v>0</v>
      </c>
      <c r="O11" s="32"/>
      <c r="P11" s="32"/>
      <c r="Q11" s="32"/>
      <c r="R11" s="32"/>
      <c r="S11" s="32">
        <f>SUM(T11:V11)</f>
        <v>0</v>
      </c>
      <c r="T11" s="32"/>
      <c r="U11" s="32"/>
      <c r="V11" s="32"/>
      <c r="W11" s="32"/>
      <c r="X11" s="32"/>
      <c r="Y11" s="32"/>
      <c r="Z11" s="32"/>
      <c r="AA11" s="32"/>
    </row>
    <row r="12" spans="1:27" ht="15.75" x14ac:dyDescent="0.25">
      <c r="A12" s="10">
        <f>A11+1</f>
        <v>2</v>
      </c>
      <c r="B12" s="1" t="s">
        <v>65</v>
      </c>
      <c r="C12" s="39">
        <f t="shared" si="6"/>
        <v>1498</v>
      </c>
      <c r="D12" s="40">
        <f t="shared" si="1"/>
        <v>1445.17</v>
      </c>
      <c r="E12" s="40">
        <f t="shared" si="2"/>
        <v>1273</v>
      </c>
      <c r="F12" s="40">
        <f t="shared" si="3"/>
        <v>172.17000000000007</v>
      </c>
      <c r="G12" s="40">
        <f t="shared" si="4"/>
        <v>0</v>
      </c>
      <c r="H12" s="32"/>
      <c r="I12" s="32">
        <f t="shared" ref="I12:I52" si="8">SUM(J12:L12)</f>
        <v>0</v>
      </c>
      <c r="J12" s="32"/>
      <c r="K12" s="32"/>
      <c r="L12" s="32"/>
      <c r="M12" s="32">
        <v>1498</v>
      </c>
      <c r="N12" s="32">
        <f t="shared" ref="N12:N22" si="9">SUM(O12:Q12)</f>
        <v>1445.17</v>
      </c>
      <c r="O12" s="32">
        <v>1273</v>
      </c>
      <c r="P12" s="32">
        <f>1445.17-O12</f>
        <v>172.17000000000007</v>
      </c>
      <c r="Q12" s="32"/>
      <c r="R12" s="32"/>
      <c r="S12" s="32">
        <f t="shared" ref="S12:S22" si="10">SUM(T12:V12)</f>
        <v>0</v>
      </c>
      <c r="T12" s="32"/>
      <c r="U12" s="32"/>
      <c r="V12" s="32"/>
      <c r="W12" s="32"/>
      <c r="X12" s="32"/>
      <c r="Y12" s="32"/>
      <c r="Z12" s="32"/>
      <c r="AA12" s="32"/>
    </row>
    <row r="13" spans="1:27" ht="15.75" x14ac:dyDescent="0.25">
      <c r="A13" s="10">
        <v>3</v>
      </c>
      <c r="B13" s="1" t="s">
        <v>66</v>
      </c>
      <c r="C13" s="39">
        <f t="shared" si="6"/>
        <v>1498</v>
      </c>
      <c r="D13" s="40">
        <f t="shared" si="1"/>
        <v>1466.65</v>
      </c>
      <c r="E13" s="40">
        <f t="shared" si="2"/>
        <v>1273</v>
      </c>
      <c r="F13" s="40">
        <f t="shared" si="3"/>
        <v>193.65000000000009</v>
      </c>
      <c r="G13" s="40">
        <f t="shared" si="4"/>
        <v>0</v>
      </c>
      <c r="H13" s="32"/>
      <c r="I13" s="32">
        <f t="shared" si="8"/>
        <v>0</v>
      </c>
      <c r="J13" s="32"/>
      <c r="K13" s="32"/>
      <c r="L13" s="32"/>
      <c r="M13" s="32">
        <v>1498</v>
      </c>
      <c r="N13" s="32">
        <f t="shared" si="9"/>
        <v>1466.65</v>
      </c>
      <c r="O13" s="32">
        <v>1273</v>
      </c>
      <c r="P13" s="32">
        <f>1466.65-O13</f>
        <v>193.65000000000009</v>
      </c>
      <c r="Q13" s="32"/>
      <c r="R13" s="32"/>
      <c r="S13" s="32">
        <f t="shared" si="10"/>
        <v>0</v>
      </c>
      <c r="T13" s="32"/>
      <c r="U13" s="32"/>
      <c r="V13" s="32"/>
      <c r="W13" s="32"/>
      <c r="X13" s="32"/>
      <c r="Y13" s="32"/>
      <c r="Z13" s="32"/>
      <c r="AA13" s="32"/>
    </row>
    <row r="14" spans="1:27" ht="15.75" x14ac:dyDescent="0.25">
      <c r="A14" s="10">
        <v>4</v>
      </c>
      <c r="B14" s="1" t="s">
        <v>69</v>
      </c>
      <c r="C14" s="39">
        <f t="shared" si="6"/>
        <v>1283</v>
      </c>
      <c r="D14" s="40">
        <f t="shared" si="1"/>
        <v>1282.97</v>
      </c>
      <c r="E14" s="40">
        <f t="shared" si="2"/>
        <v>1090</v>
      </c>
      <c r="F14" s="40">
        <f t="shared" si="3"/>
        <v>192.97000000000003</v>
      </c>
      <c r="G14" s="40">
        <f t="shared" si="4"/>
        <v>0</v>
      </c>
      <c r="H14" s="32"/>
      <c r="I14" s="32">
        <f t="shared" si="8"/>
        <v>0</v>
      </c>
      <c r="J14" s="32"/>
      <c r="K14" s="32"/>
      <c r="L14" s="32"/>
      <c r="M14" s="32">
        <v>1283</v>
      </c>
      <c r="N14" s="32">
        <f t="shared" si="9"/>
        <v>1282.97</v>
      </c>
      <c r="O14" s="32">
        <v>1090</v>
      </c>
      <c r="P14" s="32">
        <f>1282.97-O14</f>
        <v>192.97000000000003</v>
      </c>
      <c r="Q14" s="32"/>
      <c r="R14" s="32"/>
      <c r="S14" s="32">
        <f t="shared" si="10"/>
        <v>0</v>
      </c>
      <c r="T14" s="32"/>
      <c r="U14" s="32"/>
      <c r="V14" s="32"/>
      <c r="W14" s="32"/>
      <c r="X14" s="32"/>
      <c r="Y14" s="32"/>
      <c r="Z14" s="32"/>
      <c r="AA14" s="32"/>
    </row>
    <row r="15" spans="1:27" s="6" customFormat="1" ht="31.5" x14ac:dyDescent="0.25">
      <c r="A15" s="27" t="s">
        <v>1</v>
      </c>
      <c r="B15" s="2" t="s">
        <v>108</v>
      </c>
      <c r="C15" s="53">
        <f t="shared" si="6"/>
        <v>103551.69</v>
      </c>
      <c r="D15" s="54">
        <f t="shared" si="1"/>
        <v>95222.12</v>
      </c>
      <c r="E15" s="54">
        <f t="shared" si="2"/>
        <v>83785.51999999999</v>
      </c>
      <c r="F15" s="54">
        <f t="shared" si="3"/>
        <v>6202</v>
      </c>
      <c r="G15" s="54">
        <f t="shared" si="4"/>
        <v>5234.6000000000004</v>
      </c>
      <c r="H15" s="33">
        <f t="shared" ref="H15:AA15" si="11">SUBTOTAL(9,H16:H30)</f>
        <v>15471.3</v>
      </c>
      <c r="I15" s="33">
        <f t="shared" si="11"/>
        <v>15350.400000000001</v>
      </c>
      <c r="J15" s="33">
        <f t="shared" si="11"/>
        <v>12412.400000000001</v>
      </c>
      <c r="K15" s="33">
        <f t="shared" si="11"/>
        <v>2938</v>
      </c>
      <c r="L15" s="33">
        <f t="shared" si="11"/>
        <v>0</v>
      </c>
      <c r="M15" s="33">
        <f t="shared" si="11"/>
        <v>35981.9</v>
      </c>
      <c r="N15" s="33">
        <f t="shared" si="11"/>
        <v>32717.559999999998</v>
      </c>
      <c r="O15" s="33">
        <f t="shared" si="11"/>
        <v>30256.659999999996</v>
      </c>
      <c r="P15" s="33">
        <f t="shared" si="11"/>
        <v>1730</v>
      </c>
      <c r="Q15" s="33">
        <f t="shared" si="11"/>
        <v>2460.9</v>
      </c>
      <c r="R15" s="33">
        <f>SUBTOTAL(9,R16:R30)</f>
        <v>52098.49</v>
      </c>
      <c r="S15" s="33">
        <f t="shared" si="11"/>
        <v>43890.159999999996</v>
      </c>
      <c r="T15" s="33">
        <f t="shared" si="11"/>
        <v>41116.46</v>
      </c>
      <c r="U15" s="33">
        <f t="shared" si="11"/>
        <v>1534</v>
      </c>
      <c r="V15" s="33">
        <f t="shared" si="11"/>
        <v>2773.7</v>
      </c>
      <c r="W15" s="33">
        <f t="shared" si="11"/>
        <v>0</v>
      </c>
      <c r="X15" s="33">
        <f t="shared" si="11"/>
        <v>0</v>
      </c>
      <c r="Y15" s="33">
        <f>SUBTOTAL(9,Y16:Y30)</f>
        <v>0</v>
      </c>
      <c r="Z15" s="33">
        <f t="shared" si="11"/>
        <v>0</v>
      </c>
      <c r="AA15" s="33">
        <f t="shared" si="11"/>
        <v>0</v>
      </c>
    </row>
    <row r="16" spans="1:27" ht="15.75" x14ac:dyDescent="0.25">
      <c r="A16" s="10">
        <v>1</v>
      </c>
      <c r="B16" s="1" t="s">
        <v>70</v>
      </c>
      <c r="C16" s="39">
        <f t="shared" si="6"/>
        <v>13103.7</v>
      </c>
      <c r="D16" s="40">
        <f t="shared" si="1"/>
        <v>12910.7</v>
      </c>
      <c r="E16" s="40">
        <f t="shared" si="2"/>
        <v>10950</v>
      </c>
      <c r="F16" s="40">
        <f t="shared" si="3"/>
        <v>0</v>
      </c>
      <c r="G16" s="40">
        <f t="shared" si="4"/>
        <v>1960.7</v>
      </c>
      <c r="H16" s="32">
        <f>1091+544</f>
        <v>1635</v>
      </c>
      <c r="I16" s="32">
        <f t="shared" si="8"/>
        <v>1605</v>
      </c>
      <c r="J16" s="32">
        <f>1635-30</f>
        <v>1605</v>
      </c>
      <c r="K16" s="32"/>
      <c r="L16" s="32"/>
      <c r="M16" s="32">
        <v>4150</v>
      </c>
      <c r="N16" s="32">
        <f t="shared" si="9"/>
        <v>3987</v>
      </c>
      <c r="O16" s="32">
        <f>5592-1605</f>
        <v>3987</v>
      </c>
      <c r="P16" s="32"/>
      <c r="Q16" s="32"/>
      <c r="R16" s="32">
        <v>7318.7</v>
      </c>
      <c r="S16" s="32">
        <f t="shared" si="10"/>
        <v>7318.7</v>
      </c>
      <c r="T16" s="32">
        <v>5358</v>
      </c>
      <c r="U16" s="32"/>
      <c r="V16" s="32">
        <v>1960.7</v>
      </c>
      <c r="W16" s="32"/>
      <c r="X16" s="32"/>
      <c r="Y16" s="32"/>
      <c r="Z16" s="32"/>
      <c r="AA16" s="32"/>
    </row>
    <row r="17" spans="1:27" s="51" customFormat="1" ht="15.75" x14ac:dyDescent="0.25">
      <c r="A17" s="48">
        <f>A16+1</f>
        <v>2</v>
      </c>
      <c r="B17" s="49" t="s">
        <v>71</v>
      </c>
      <c r="C17" s="39">
        <f t="shared" si="6"/>
        <v>16062.9</v>
      </c>
      <c r="D17" s="40">
        <f t="shared" si="1"/>
        <v>15541.9</v>
      </c>
      <c r="E17" s="40">
        <f t="shared" si="2"/>
        <v>14106</v>
      </c>
      <c r="F17" s="40">
        <f t="shared" si="3"/>
        <v>0</v>
      </c>
      <c r="G17" s="40">
        <f t="shared" si="4"/>
        <v>1435.9</v>
      </c>
      <c r="H17" s="50">
        <f>1433+714</f>
        <v>2147</v>
      </c>
      <c r="I17" s="50">
        <f t="shared" si="8"/>
        <v>2147</v>
      </c>
      <c r="J17" s="50">
        <v>2147</v>
      </c>
      <c r="K17" s="50"/>
      <c r="L17" s="50"/>
      <c r="M17" s="50">
        <v>6881.9</v>
      </c>
      <c r="N17" s="50">
        <f t="shared" si="9"/>
        <v>6881.9</v>
      </c>
      <c r="O17" s="50">
        <v>5446</v>
      </c>
      <c r="P17" s="50"/>
      <c r="Q17" s="50">
        <v>1435.9</v>
      </c>
      <c r="R17" s="50">
        <f>[1]Sheet1!C31+[1]Sheet1!C41</f>
        <v>7034</v>
      </c>
      <c r="S17" s="50">
        <f t="shared" si="10"/>
        <v>6513</v>
      </c>
      <c r="T17" s="50">
        <v>6513</v>
      </c>
      <c r="U17" s="50"/>
      <c r="V17" s="50"/>
      <c r="W17" s="50"/>
      <c r="X17" s="50"/>
      <c r="Y17" s="50"/>
      <c r="Z17" s="50"/>
      <c r="AA17" s="50"/>
    </row>
    <row r="18" spans="1:27" s="51" customFormat="1" ht="15.75" x14ac:dyDescent="0.25">
      <c r="A18" s="48">
        <f t="shared" ref="A18:A52" si="12">A17+1</f>
        <v>3</v>
      </c>
      <c r="B18" s="49" t="s">
        <v>73</v>
      </c>
      <c r="C18" s="39">
        <f t="shared" si="6"/>
        <v>11501</v>
      </c>
      <c r="D18" s="40">
        <f t="shared" si="1"/>
        <v>10879</v>
      </c>
      <c r="E18" s="40">
        <f t="shared" si="2"/>
        <v>10226</v>
      </c>
      <c r="F18" s="40">
        <f t="shared" si="3"/>
        <v>0</v>
      </c>
      <c r="G18" s="40">
        <f t="shared" si="4"/>
        <v>653</v>
      </c>
      <c r="H18" s="50">
        <f>1004+500</f>
        <v>1504</v>
      </c>
      <c r="I18" s="50">
        <f t="shared" si="8"/>
        <v>1485</v>
      </c>
      <c r="J18" s="50">
        <f>990+495</f>
        <v>1485</v>
      </c>
      <c r="K18" s="50"/>
      <c r="L18" s="50"/>
      <c r="M18" s="50">
        <v>3872</v>
      </c>
      <c r="N18" s="50">
        <f t="shared" si="9"/>
        <v>3872</v>
      </c>
      <c r="O18" s="50">
        <v>3815</v>
      </c>
      <c r="P18" s="50"/>
      <c r="Q18" s="50">
        <v>57</v>
      </c>
      <c r="R18" s="50">
        <v>6125</v>
      </c>
      <c r="S18" s="50">
        <f t="shared" si="10"/>
        <v>5522</v>
      </c>
      <c r="T18" s="50">
        <v>4926</v>
      </c>
      <c r="U18" s="50"/>
      <c r="V18" s="50">
        <v>596</v>
      </c>
      <c r="W18" s="50"/>
      <c r="X18" s="50"/>
      <c r="Y18" s="50"/>
      <c r="Z18" s="50"/>
      <c r="AA18" s="50"/>
    </row>
    <row r="19" spans="1:27" s="51" customFormat="1" ht="15.75" x14ac:dyDescent="0.25">
      <c r="A19" s="48">
        <f t="shared" si="12"/>
        <v>4</v>
      </c>
      <c r="B19" s="49" t="s">
        <v>72</v>
      </c>
      <c r="C19" s="39">
        <f t="shared" si="6"/>
        <v>13697</v>
      </c>
      <c r="D19" s="40">
        <f t="shared" si="1"/>
        <v>11783</v>
      </c>
      <c r="E19" s="40">
        <f t="shared" si="2"/>
        <v>10982</v>
      </c>
      <c r="F19" s="40">
        <f t="shared" si="3"/>
        <v>0</v>
      </c>
      <c r="G19" s="40">
        <f t="shared" si="4"/>
        <v>801</v>
      </c>
      <c r="H19" s="50">
        <f>1023+510</f>
        <v>1533</v>
      </c>
      <c r="I19" s="50">
        <f t="shared" si="8"/>
        <v>1533</v>
      </c>
      <c r="J19" s="50">
        <f>1023+510</f>
        <v>1533</v>
      </c>
      <c r="K19" s="50"/>
      <c r="L19" s="50"/>
      <c r="M19" s="50">
        <v>4474</v>
      </c>
      <c r="N19" s="50">
        <f t="shared" si="9"/>
        <v>4474</v>
      </c>
      <c r="O19" s="50">
        <v>3890</v>
      </c>
      <c r="P19" s="50"/>
      <c r="Q19" s="50">
        <v>584</v>
      </c>
      <c r="R19" s="50">
        <f>6025+1665</f>
        <v>7690</v>
      </c>
      <c r="S19" s="50">
        <f t="shared" si="10"/>
        <v>5776</v>
      </c>
      <c r="T19" s="50">
        <f>4111+1448</f>
        <v>5559</v>
      </c>
      <c r="U19" s="50"/>
      <c r="V19" s="50">
        <v>217</v>
      </c>
      <c r="W19" s="50"/>
      <c r="X19" s="50"/>
      <c r="Y19" s="50"/>
      <c r="Z19" s="50"/>
      <c r="AA19" s="50"/>
    </row>
    <row r="20" spans="1:27" s="51" customFormat="1" ht="15.75" x14ac:dyDescent="0.25">
      <c r="A20" s="48">
        <f t="shared" si="12"/>
        <v>5</v>
      </c>
      <c r="B20" s="49" t="s">
        <v>74</v>
      </c>
      <c r="C20" s="39">
        <f t="shared" si="6"/>
        <v>10493</v>
      </c>
      <c r="D20" s="40">
        <f t="shared" si="1"/>
        <v>7609.99</v>
      </c>
      <c r="E20" s="40">
        <f t="shared" si="2"/>
        <v>7609.99</v>
      </c>
      <c r="F20" s="40">
        <f t="shared" si="3"/>
        <v>0</v>
      </c>
      <c r="G20" s="40">
        <f t="shared" si="4"/>
        <v>0</v>
      </c>
      <c r="H20" s="52">
        <f>887+442</f>
        <v>1329</v>
      </c>
      <c r="I20" s="50">
        <f t="shared" si="8"/>
        <v>1262.55</v>
      </c>
      <c r="J20" s="52">
        <v>1262.55</v>
      </c>
      <c r="K20" s="52"/>
      <c r="L20" s="52"/>
      <c r="M20" s="50">
        <v>3371</v>
      </c>
      <c r="N20" s="50">
        <f t="shared" si="9"/>
        <v>2036.44</v>
      </c>
      <c r="O20" s="52">
        <v>2036.44</v>
      </c>
      <c r="P20" s="52"/>
      <c r="Q20" s="52"/>
      <c r="R20" s="50">
        <f>4538+1255</f>
        <v>5793</v>
      </c>
      <c r="S20" s="50">
        <f t="shared" si="10"/>
        <v>4311</v>
      </c>
      <c r="T20" s="52">
        <f>3064+1247</f>
        <v>4311</v>
      </c>
      <c r="U20" s="52"/>
      <c r="V20" s="52"/>
      <c r="W20" s="52"/>
      <c r="X20" s="50"/>
      <c r="Y20" s="50"/>
      <c r="Z20" s="52"/>
      <c r="AA20" s="52"/>
    </row>
    <row r="21" spans="1:27" s="51" customFormat="1" ht="15.75" x14ac:dyDescent="0.25">
      <c r="A21" s="48">
        <f t="shared" si="12"/>
        <v>6</v>
      </c>
      <c r="B21" s="49" t="s">
        <v>75</v>
      </c>
      <c r="C21" s="39">
        <f t="shared" si="6"/>
        <v>16084.3</v>
      </c>
      <c r="D21" s="40">
        <f t="shared" si="1"/>
        <v>13951.2</v>
      </c>
      <c r="E21" s="40">
        <f t="shared" si="2"/>
        <v>13567.2</v>
      </c>
      <c r="F21" s="40">
        <f t="shared" si="3"/>
        <v>0</v>
      </c>
      <c r="G21" s="40">
        <f t="shared" si="4"/>
        <v>384</v>
      </c>
      <c r="H21" s="52">
        <f>1330+663.3</f>
        <v>1993.3</v>
      </c>
      <c r="I21" s="50">
        <f t="shared" si="8"/>
        <v>1993.3000000000002</v>
      </c>
      <c r="J21" s="52">
        <f>1330.2+663.1</f>
        <v>1993.3000000000002</v>
      </c>
      <c r="K21" s="52"/>
      <c r="L21" s="52"/>
      <c r="M21" s="50">
        <v>5436</v>
      </c>
      <c r="N21" s="50">
        <f t="shared" si="9"/>
        <v>5436</v>
      </c>
      <c r="O21" s="52">
        <v>5052</v>
      </c>
      <c r="P21" s="52"/>
      <c r="Q21" s="52">
        <f>5436-5052</f>
        <v>384</v>
      </c>
      <c r="R21" s="50">
        <f>6770+1885</f>
        <v>8655</v>
      </c>
      <c r="S21" s="50">
        <f t="shared" si="10"/>
        <v>6521.9</v>
      </c>
      <c r="T21" s="52">
        <f>4643+1878.9</f>
        <v>6521.9</v>
      </c>
      <c r="U21" s="52"/>
      <c r="V21" s="52"/>
      <c r="W21" s="52"/>
      <c r="X21" s="50"/>
      <c r="Y21" s="50"/>
      <c r="Z21" s="52"/>
      <c r="AA21" s="52"/>
    </row>
    <row r="22" spans="1:27" s="51" customFormat="1" ht="15.75" x14ac:dyDescent="0.25">
      <c r="A22" s="48">
        <f t="shared" si="12"/>
        <v>7</v>
      </c>
      <c r="B22" s="49" t="s">
        <v>76</v>
      </c>
      <c r="C22" s="39">
        <f t="shared" si="6"/>
        <v>16407.79</v>
      </c>
      <c r="D22" s="40">
        <f t="shared" si="1"/>
        <v>16344.33</v>
      </c>
      <c r="E22" s="40">
        <f t="shared" si="2"/>
        <v>16344.33</v>
      </c>
      <c r="F22" s="40">
        <f t="shared" si="3"/>
        <v>0</v>
      </c>
      <c r="G22" s="40">
        <f t="shared" si="4"/>
        <v>0</v>
      </c>
      <c r="H22" s="52">
        <f>1596+796</f>
        <v>2392</v>
      </c>
      <c r="I22" s="50">
        <f t="shared" si="8"/>
        <v>2386.5500000000002</v>
      </c>
      <c r="J22" s="52">
        <f>1590+796.55</f>
        <v>2386.5500000000002</v>
      </c>
      <c r="K22" s="52"/>
      <c r="L22" s="52"/>
      <c r="M22" s="50">
        <v>6067</v>
      </c>
      <c r="N22" s="50">
        <f t="shared" si="9"/>
        <v>6030.2199999999993</v>
      </c>
      <c r="O22" s="52">
        <f>4016.22+2014</f>
        <v>6030.2199999999993</v>
      </c>
      <c r="P22" s="52"/>
      <c r="Q22" s="52"/>
      <c r="R22" s="50">
        <f>5512.79+2436</f>
        <v>7948.79</v>
      </c>
      <c r="S22" s="50">
        <f t="shared" si="10"/>
        <v>7927.5599999999995</v>
      </c>
      <c r="T22" s="52">
        <f>5500+2427.56</f>
        <v>7927.5599999999995</v>
      </c>
      <c r="U22" s="52"/>
      <c r="V22" s="52"/>
      <c r="W22" s="52"/>
      <c r="X22" s="50"/>
      <c r="Y22" s="50"/>
      <c r="Z22" s="52"/>
      <c r="AA22" s="52"/>
    </row>
    <row r="23" spans="1:27" ht="15.75" x14ac:dyDescent="0.25">
      <c r="A23" s="10">
        <f t="shared" si="12"/>
        <v>8</v>
      </c>
      <c r="B23" s="12" t="s">
        <v>77</v>
      </c>
      <c r="C23" s="39">
        <f t="shared" si="6"/>
        <v>704</v>
      </c>
      <c r="D23" s="40">
        <f t="shared" si="1"/>
        <v>704</v>
      </c>
      <c r="E23" s="40">
        <f t="shared" si="2"/>
        <v>0</v>
      </c>
      <c r="F23" s="40">
        <f t="shared" si="3"/>
        <v>704</v>
      </c>
      <c r="G23" s="40">
        <f t="shared" si="4"/>
        <v>0</v>
      </c>
      <c r="H23" s="34">
        <v>334</v>
      </c>
      <c r="I23" s="32">
        <f t="shared" si="8"/>
        <v>334</v>
      </c>
      <c r="J23" s="34"/>
      <c r="K23" s="34">
        <f>H23</f>
        <v>334</v>
      </c>
      <c r="L23" s="34"/>
      <c r="M23" s="34">
        <v>196</v>
      </c>
      <c r="N23" s="34"/>
      <c r="O23" s="34"/>
      <c r="P23" s="34">
        <f>M23</f>
        <v>196</v>
      </c>
      <c r="Q23" s="34"/>
      <c r="R23" s="34">
        <v>174</v>
      </c>
      <c r="S23" s="34"/>
      <c r="T23" s="34"/>
      <c r="U23" s="34">
        <f>R23</f>
        <v>174</v>
      </c>
      <c r="V23" s="34"/>
      <c r="W23" s="34"/>
      <c r="X23" s="32"/>
      <c r="Y23" s="32"/>
      <c r="Z23" s="34"/>
      <c r="AA23" s="34"/>
    </row>
    <row r="24" spans="1:27" ht="15.75" x14ac:dyDescent="0.25">
      <c r="A24" s="10">
        <f t="shared" si="12"/>
        <v>9</v>
      </c>
      <c r="B24" s="12" t="s">
        <v>78</v>
      </c>
      <c r="C24" s="39">
        <f t="shared" si="6"/>
        <v>703</v>
      </c>
      <c r="D24" s="40">
        <f t="shared" si="1"/>
        <v>703</v>
      </c>
      <c r="E24" s="40">
        <f t="shared" si="2"/>
        <v>0</v>
      </c>
      <c r="F24" s="40">
        <f t="shared" si="3"/>
        <v>703</v>
      </c>
      <c r="G24" s="40">
        <f t="shared" si="4"/>
        <v>0</v>
      </c>
      <c r="H24" s="34">
        <v>333</v>
      </c>
      <c r="I24" s="32">
        <f t="shared" si="8"/>
        <v>333</v>
      </c>
      <c r="J24" s="34"/>
      <c r="K24" s="34">
        <f t="shared" ref="K24:K30" si="13">H24</f>
        <v>333</v>
      </c>
      <c r="L24" s="34"/>
      <c r="M24" s="34">
        <v>196</v>
      </c>
      <c r="N24" s="34"/>
      <c r="O24" s="34"/>
      <c r="P24" s="34">
        <f t="shared" ref="P24:P30" si="14">M24</f>
        <v>196</v>
      </c>
      <c r="Q24" s="34"/>
      <c r="R24" s="34">
        <v>174</v>
      </c>
      <c r="S24" s="34"/>
      <c r="T24" s="34"/>
      <c r="U24" s="34">
        <f t="shared" ref="U24:U30" si="15">R24</f>
        <v>174</v>
      </c>
      <c r="V24" s="34"/>
      <c r="W24" s="34"/>
      <c r="X24" s="32"/>
      <c r="Y24" s="32"/>
      <c r="Z24" s="34"/>
      <c r="AA24" s="34"/>
    </row>
    <row r="25" spans="1:27" ht="15.75" x14ac:dyDescent="0.25">
      <c r="A25" s="10">
        <f t="shared" si="12"/>
        <v>10</v>
      </c>
      <c r="B25" s="12" t="s">
        <v>79</v>
      </c>
      <c r="C25" s="39">
        <f t="shared" si="6"/>
        <v>823</v>
      </c>
      <c r="D25" s="40">
        <f t="shared" si="1"/>
        <v>823</v>
      </c>
      <c r="E25" s="40">
        <f t="shared" si="2"/>
        <v>0</v>
      </c>
      <c r="F25" s="40">
        <f t="shared" si="3"/>
        <v>823</v>
      </c>
      <c r="G25" s="40">
        <f t="shared" si="4"/>
        <v>0</v>
      </c>
      <c r="H25" s="34">
        <v>389</v>
      </c>
      <c r="I25" s="32">
        <f t="shared" si="8"/>
        <v>389</v>
      </c>
      <c r="J25" s="34"/>
      <c r="K25" s="34">
        <f t="shared" si="13"/>
        <v>389</v>
      </c>
      <c r="L25" s="34"/>
      <c r="M25" s="34">
        <v>230</v>
      </c>
      <c r="N25" s="34"/>
      <c r="O25" s="34"/>
      <c r="P25" s="34">
        <f t="shared" si="14"/>
        <v>230</v>
      </c>
      <c r="Q25" s="34"/>
      <c r="R25" s="34">
        <v>204</v>
      </c>
      <c r="S25" s="34"/>
      <c r="T25" s="34"/>
      <c r="U25" s="34">
        <f t="shared" si="15"/>
        <v>204</v>
      </c>
      <c r="V25" s="34"/>
      <c r="W25" s="34"/>
      <c r="X25" s="32"/>
      <c r="Y25" s="32"/>
      <c r="Z25" s="34"/>
      <c r="AA25" s="34"/>
    </row>
    <row r="26" spans="1:27" ht="15.75" x14ac:dyDescent="0.25">
      <c r="A26" s="10">
        <f t="shared" si="12"/>
        <v>11</v>
      </c>
      <c r="B26" s="12" t="s">
        <v>80</v>
      </c>
      <c r="C26" s="39">
        <f t="shared" si="6"/>
        <v>689</v>
      </c>
      <c r="D26" s="40">
        <f t="shared" si="1"/>
        <v>689</v>
      </c>
      <c r="E26" s="40">
        <f t="shared" si="2"/>
        <v>0</v>
      </c>
      <c r="F26" s="40">
        <f t="shared" si="3"/>
        <v>689</v>
      </c>
      <c r="G26" s="40">
        <f t="shared" si="4"/>
        <v>0</v>
      </c>
      <c r="H26" s="34">
        <v>326</v>
      </c>
      <c r="I26" s="32">
        <f t="shared" si="8"/>
        <v>326</v>
      </c>
      <c r="J26" s="34"/>
      <c r="K26" s="34">
        <f t="shared" si="13"/>
        <v>326</v>
      </c>
      <c r="L26" s="34"/>
      <c r="M26" s="34">
        <v>192</v>
      </c>
      <c r="N26" s="34"/>
      <c r="O26" s="34"/>
      <c r="P26" s="34">
        <f t="shared" si="14"/>
        <v>192</v>
      </c>
      <c r="Q26" s="34"/>
      <c r="R26" s="34">
        <v>171</v>
      </c>
      <c r="S26" s="34"/>
      <c r="T26" s="34"/>
      <c r="U26" s="34">
        <f t="shared" si="15"/>
        <v>171</v>
      </c>
      <c r="V26" s="34"/>
      <c r="W26" s="34"/>
      <c r="X26" s="34"/>
      <c r="Y26" s="34"/>
      <c r="Z26" s="34"/>
      <c r="AA26" s="34"/>
    </row>
    <row r="27" spans="1:27" ht="15.75" x14ac:dyDescent="0.25">
      <c r="A27" s="10">
        <f t="shared" si="12"/>
        <v>12</v>
      </c>
      <c r="B27" s="12" t="s">
        <v>81</v>
      </c>
      <c r="C27" s="39">
        <f t="shared" si="6"/>
        <v>498</v>
      </c>
      <c r="D27" s="40">
        <f t="shared" si="1"/>
        <v>498</v>
      </c>
      <c r="E27" s="40">
        <f t="shared" si="2"/>
        <v>0</v>
      </c>
      <c r="F27" s="40">
        <f t="shared" si="3"/>
        <v>498</v>
      </c>
      <c r="G27" s="40">
        <f t="shared" si="4"/>
        <v>0</v>
      </c>
      <c r="H27" s="34">
        <v>236</v>
      </c>
      <c r="I27" s="32">
        <f t="shared" si="8"/>
        <v>236</v>
      </c>
      <c r="J27" s="34"/>
      <c r="K27" s="34">
        <f t="shared" si="13"/>
        <v>236</v>
      </c>
      <c r="L27" s="34"/>
      <c r="M27" s="34">
        <v>139</v>
      </c>
      <c r="N27" s="34"/>
      <c r="O27" s="34"/>
      <c r="P27" s="34">
        <f t="shared" si="14"/>
        <v>139</v>
      </c>
      <c r="Q27" s="34"/>
      <c r="R27" s="34">
        <v>123</v>
      </c>
      <c r="S27" s="34"/>
      <c r="T27" s="34"/>
      <c r="U27" s="34">
        <f t="shared" si="15"/>
        <v>123</v>
      </c>
      <c r="V27" s="34"/>
      <c r="W27" s="34"/>
      <c r="X27" s="34"/>
      <c r="Y27" s="34"/>
      <c r="Z27" s="34"/>
      <c r="AA27" s="34"/>
    </row>
    <row r="28" spans="1:27" ht="15.75" x14ac:dyDescent="0.25">
      <c r="A28" s="10">
        <f t="shared" si="12"/>
        <v>13</v>
      </c>
      <c r="B28" s="12" t="s">
        <v>82</v>
      </c>
      <c r="C28" s="39">
        <f t="shared" si="6"/>
        <v>663</v>
      </c>
      <c r="D28" s="40">
        <f t="shared" si="1"/>
        <v>663</v>
      </c>
      <c r="E28" s="40">
        <f t="shared" si="2"/>
        <v>0</v>
      </c>
      <c r="F28" s="40">
        <f t="shared" si="3"/>
        <v>663</v>
      </c>
      <c r="G28" s="40">
        <f t="shared" si="4"/>
        <v>0</v>
      </c>
      <c r="H28" s="34">
        <v>314</v>
      </c>
      <c r="I28" s="32">
        <f t="shared" si="8"/>
        <v>314</v>
      </c>
      <c r="J28" s="34"/>
      <c r="K28" s="34">
        <f t="shared" si="13"/>
        <v>314</v>
      </c>
      <c r="L28" s="34"/>
      <c r="M28" s="34">
        <v>185</v>
      </c>
      <c r="N28" s="34"/>
      <c r="O28" s="34"/>
      <c r="P28" s="34">
        <f t="shared" si="14"/>
        <v>185</v>
      </c>
      <c r="Q28" s="34"/>
      <c r="R28" s="34">
        <v>164</v>
      </c>
      <c r="S28" s="34"/>
      <c r="T28" s="34"/>
      <c r="U28" s="34">
        <f t="shared" si="15"/>
        <v>164</v>
      </c>
      <c r="V28" s="34"/>
      <c r="W28" s="34"/>
      <c r="X28" s="34"/>
      <c r="Y28" s="34"/>
      <c r="Z28" s="34"/>
      <c r="AA28" s="34"/>
    </row>
    <row r="29" spans="1:27" ht="15.75" x14ac:dyDescent="0.25">
      <c r="A29" s="10">
        <f t="shared" si="12"/>
        <v>14</v>
      </c>
      <c r="B29" s="12" t="s">
        <v>83</v>
      </c>
      <c r="C29" s="39">
        <f t="shared" si="6"/>
        <v>1061</v>
      </c>
      <c r="D29" s="40">
        <f t="shared" si="1"/>
        <v>1061</v>
      </c>
      <c r="E29" s="40">
        <f t="shared" si="2"/>
        <v>0</v>
      </c>
      <c r="F29" s="40">
        <f t="shared" si="3"/>
        <v>1061</v>
      </c>
      <c r="G29" s="40">
        <f t="shared" si="4"/>
        <v>0</v>
      </c>
      <c r="H29" s="34">
        <v>503</v>
      </c>
      <c r="I29" s="32">
        <f t="shared" si="8"/>
        <v>503</v>
      </c>
      <c r="J29" s="34"/>
      <c r="K29" s="34">
        <f t="shared" si="13"/>
        <v>503</v>
      </c>
      <c r="L29" s="34"/>
      <c r="M29" s="34">
        <v>296</v>
      </c>
      <c r="N29" s="34"/>
      <c r="O29" s="34"/>
      <c r="P29" s="34">
        <f t="shared" si="14"/>
        <v>296</v>
      </c>
      <c r="Q29" s="34"/>
      <c r="R29" s="34">
        <v>262</v>
      </c>
      <c r="S29" s="34"/>
      <c r="T29" s="34"/>
      <c r="U29" s="34">
        <f t="shared" si="15"/>
        <v>262</v>
      </c>
      <c r="V29" s="34"/>
      <c r="W29" s="34"/>
      <c r="X29" s="34"/>
      <c r="Y29" s="34"/>
      <c r="Z29" s="34"/>
      <c r="AA29" s="34"/>
    </row>
    <row r="30" spans="1:27" ht="15.75" x14ac:dyDescent="0.25">
      <c r="A30" s="10">
        <f t="shared" si="12"/>
        <v>15</v>
      </c>
      <c r="B30" s="12" t="s">
        <v>84</v>
      </c>
      <c r="C30" s="39">
        <f t="shared" si="6"/>
        <v>1061</v>
      </c>
      <c r="D30" s="40">
        <f t="shared" si="1"/>
        <v>1061</v>
      </c>
      <c r="E30" s="40">
        <f t="shared" si="2"/>
        <v>0</v>
      </c>
      <c r="F30" s="40">
        <f t="shared" si="3"/>
        <v>1061</v>
      </c>
      <c r="G30" s="40">
        <f t="shared" si="4"/>
        <v>0</v>
      </c>
      <c r="H30" s="34">
        <v>503</v>
      </c>
      <c r="I30" s="32">
        <f t="shared" si="8"/>
        <v>503</v>
      </c>
      <c r="J30" s="34"/>
      <c r="K30" s="34">
        <f t="shared" si="13"/>
        <v>503</v>
      </c>
      <c r="L30" s="34"/>
      <c r="M30" s="34">
        <v>296</v>
      </c>
      <c r="N30" s="34"/>
      <c r="O30" s="34"/>
      <c r="P30" s="34">
        <f t="shared" si="14"/>
        <v>296</v>
      </c>
      <c r="Q30" s="34"/>
      <c r="R30" s="34">
        <v>262</v>
      </c>
      <c r="S30" s="34"/>
      <c r="T30" s="34"/>
      <c r="U30" s="34">
        <f t="shared" si="15"/>
        <v>262</v>
      </c>
      <c r="V30" s="34"/>
      <c r="W30" s="34"/>
      <c r="X30" s="34"/>
      <c r="Y30" s="34"/>
      <c r="Z30" s="34"/>
      <c r="AA30" s="34"/>
    </row>
    <row r="31" spans="1:27" s="6" customFormat="1" ht="15.75" x14ac:dyDescent="0.25">
      <c r="A31" s="55" t="s">
        <v>85</v>
      </c>
      <c r="B31" s="2" t="s">
        <v>114</v>
      </c>
      <c r="C31" s="53">
        <f t="shared" si="6"/>
        <v>40728</v>
      </c>
      <c r="D31" s="54">
        <f t="shared" si="1"/>
        <v>20315.586000000003</v>
      </c>
      <c r="E31" s="54">
        <f t="shared" si="2"/>
        <v>20123.586000000003</v>
      </c>
      <c r="F31" s="54">
        <f t="shared" si="3"/>
        <v>0</v>
      </c>
      <c r="G31" s="54">
        <f t="shared" si="4"/>
        <v>192</v>
      </c>
      <c r="H31" s="31">
        <f t="shared" ref="H31:AA31" si="16">SUBTOTAL(9,H32:H52)</f>
        <v>0</v>
      </c>
      <c r="I31" s="31">
        <f t="shared" si="16"/>
        <v>0</v>
      </c>
      <c r="J31" s="31">
        <f t="shared" si="16"/>
        <v>0</v>
      </c>
      <c r="K31" s="31">
        <f t="shared" si="16"/>
        <v>0</v>
      </c>
      <c r="L31" s="31">
        <f t="shared" si="16"/>
        <v>0</v>
      </c>
      <c r="M31" s="31">
        <f t="shared" si="16"/>
        <v>0</v>
      </c>
      <c r="N31" s="31">
        <f t="shared" si="16"/>
        <v>0</v>
      </c>
      <c r="O31" s="31">
        <f t="shared" si="16"/>
        <v>0</v>
      </c>
      <c r="P31" s="31">
        <f t="shared" si="16"/>
        <v>0</v>
      </c>
      <c r="Q31" s="31">
        <f t="shared" si="16"/>
        <v>0</v>
      </c>
      <c r="R31" s="31">
        <f t="shared" si="16"/>
        <v>0</v>
      </c>
      <c r="S31" s="31">
        <f t="shared" si="16"/>
        <v>0</v>
      </c>
      <c r="T31" s="31">
        <f t="shared" si="16"/>
        <v>0</v>
      </c>
      <c r="U31" s="31">
        <f t="shared" si="16"/>
        <v>0</v>
      </c>
      <c r="V31" s="31">
        <f t="shared" si="16"/>
        <v>0</v>
      </c>
      <c r="W31" s="31">
        <f t="shared" si="16"/>
        <v>40728</v>
      </c>
      <c r="X31" s="31">
        <f t="shared" si="16"/>
        <v>20315.586000000003</v>
      </c>
      <c r="Y31" s="31">
        <f t="shared" si="16"/>
        <v>20123.586000000003</v>
      </c>
      <c r="Z31" s="31">
        <f t="shared" si="16"/>
        <v>0</v>
      </c>
      <c r="AA31" s="31">
        <f t="shared" si="16"/>
        <v>192</v>
      </c>
    </row>
    <row r="32" spans="1:27" ht="15.75" x14ac:dyDescent="0.25">
      <c r="A32" s="10">
        <v>1</v>
      </c>
      <c r="B32" s="1" t="s">
        <v>86</v>
      </c>
      <c r="C32" s="39">
        <f t="shared" si="6"/>
        <v>4016</v>
      </c>
      <c r="D32" s="40">
        <f t="shared" si="1"/>
        <v>3793</v>
      </c>
      <c r="E32" s="40">
        <f t="shared" si="2"/>
        <v>3793</v>
      </c>
      <c r="F32" s="40">
        <f t="shared" si="3"/>
        <v>0</v>
      </c>
      <c r="G32" s="40">
        <f t="shared" si="4"/>
        <v>0</v>
      </c>
      <c r="H32" s="34"/>
      <c r="I32" s="32">
        <f t="shared" si="8"/>
        <v>0</v>
      </c>
      <c r="J32" s="34"/>
      <c r="K32" s="34"/>
      <c r="L32" s="34"/>
      <c r="M32" s="34"/>
      <c r="N32" s="34"/>
      <c r="O32" s="34"/>
      <c r="P32" s="34"/>
      <c r="Q32" s="34"/>
      <c r="R32" s="34"/>
      <c r="S32" s="34"/>
      <c r="T32" s="34"/>
      <c r="U32" s="34"/>
      <c r="V32" s="34"/>
      <c r="W32" s="34">
        <f>3615+401</f>
        <v>4016</v>
      </c>
      <c r="X32" s="34">
        <f>SUM(Y32:AA32)</f>
        <v>3793</v>
      </c>
      <c r="Y32" s="34">
        <f>3449+344</f>
        <v>3793</v>
      </c>
      <c r="Z32" s="34"/>
      <c r="AA32" s="34"/>
    </row>
    <row r="33" spans="1:27" ht="15.75" x14ac:dyDescent="0.25">
      <c r="A33" s="10">
        <f t="shared" si="12"/>
        <v>2</v>
      </c>
      <c r="B33" s="1" t="s">
        <v>87</v>
      </c>
      <c r="C33" s="39">
        <f t="shared" si="6"/>
        <v>2700</v>
      </c>
      <c r="D33" s="40">
        <f t="shared" si="1"/>
        <v>2699.8599999999997</v>
      </c>
      <c r="E33" s="40">
        <f t="shared" si="2"/>
        <v>2699.8599999999997</v>
      </c>
      <c r="F33" s="40">
        <f t="shared" si="3"/>
        <v>0</v>
      </c>
      <c r="G33" s="40">
        <f t="shared" si="4"/>
        <v>0</v>
      </c>
      <c r="H33" s="34"/>
      <c r="I33" s="32">
        <f t="shared" si="8"/>
        <v>0</v>
      </c>
      <c r="J33" s="34"/>
      <c r="K33" s="34"/>
      <c r="L33" s="34"/>
      <c r="M33" s="34"/>
      <c r="N33" s="34"/>
      <c r="O33" s="34"/>
      <c r="P33" s="34"/>
      <c r="Q33" s="34"/>
      <c r="R33" s="34"/>
      <c r="S33" s="34"/>
      <c r="T33" s="34"/>
      <c r="U33" s="34"/>
      <c r="V33" s="34"/>
      <c r="W33" s="34">
        <f>1500+1200</f>
        <v>2700</v>
      </c>
      <c r="X33" s="34">
        <f t="shared" ref="X33:X52" si="17">SUM(Y33:AA33)</f>
        <v>2699.8599999999997</v>
      </c>
      <c r="Y33" s="34">
        <f>1500+1199.86</f>
        <v>2699.8599999999997</v>
      </c>
      <c r="Z33" s="34"/>
      <c r="AA33" s="34"/>
    </row>
    <row r="34" spans="1:27" ht="15.75" x14ac:dyDescent="0.25">
      <c r="A34" s="10">
        <f t="shared" si="12"/>
        <v>3</v>
      </c>
      <c r="B34" s="1" t="s">
        <v>88</v>
      </c>
      <c r="C34" s="39">
        <f t="shared" si="6"/>
        <v>1460</v>
      </c>
      <c r="D34" s="40">
        <f t="shared" si="1"/>
        <v>1408</v>
      </c>
      <c r="E34" s="40">
        <f t="shared" si="2"/>
        <v>1408</v>
      </c>
      <c r="F34" s="40">
        <f t="shared" si="3"/>
        <v>0</v>
      </c>
      <c r="G34" s="40">
        <f t="shared" si="4"/>
        <v>0</v>
      </c>
      <c r="H34" s="34"/>
      <c r="I34" s="32">
        <f t="shared" si="8"/>
        <v>0</v>
      </c>
      <c r="J34" s="34"/>
      <c r="K34" s="34"/>
      <c r="L34" s="34"/>
      <c r="M34" s="34"/>
      <c r="N34" s="34"/>
      <c r="O34" s="34"/>
      <c r="P34" s="34"/>
      <c r="Q34" s="34"/>
      <c r="R34" s="34"/>
      <c r="S34" s="34"/>
      <c r="T34" s="34"/>
      <c r="U34" s="34"/>
      <c r="V34" s="34"/>
      <c r="W34" s="34">
        <f>480+980</f>
        <v>1460</v>
      </c>
      <c r="X34" s="34">
        <f t="shared" si="17"/>
        <v>1408</v>
      </c>
      <c r="Y34" s="34">
        <f>457.6+950.4</f>
        <v>1408</v>
      </c>
      <c r="Z34" s="34"/>
      <c r="AA34" s="34"/>
    </row>
    <row r="35" spans="1:27" ht="15.75" x14ac:dyDescent="0.25">
      <c r="A35" s="10">
        <f t="shared" si="12"/>
        <v>4</v>
      </c>
      <c r="B35" s="1" t="s">
        <v>89</v>
      </c>
      <c r="C35" s="39">
        <f t="shared" si="6"/>
        <v>943</v>
      </c>
      <c r="D35" s="40">
        <f t="shared" si="1"/>
        <v>0</v>
      </c>
      <c r="E35" s="40">
        <f t="shared" si="2"/>
        <v>0</v>
      </c>
      <c r="F35" s="40">
        <f t="shared" si="3"/>
        <v>0</v>
      </c>
      <c r="G35" s="40">
        <f t="shared" si="4"/>
        <v>0</v>
      </c>
      <c r="H35" s="34"/>
      <c r="I35" s="32">
        <f t="shared" si="8"/>
        <v>0</v>
      </c>
      <c r="J35" s="34"/>
      <c r="K35" s="34"/>
      <c r="L35" s="34"/>
      <c r="M35" s="34"/>
      <c r="N35" s="34"/>
      <c r="O35" s="34"/>
      <c r="P35" s="34"/>
      <c r="Q35" s="34"/>
      <c r="R35" s="34"/>
      <c r="S35" s="34"/>
      <c r="T35" s="34"/>
      <c r="U35" s="34"/>
      <c r="V35" s="34"/>
      <c r="W35" s="34">
        <f>768+175</f>
        <v>943</v>
      </c>
      <c r="X35" s="34">
        <f t="shared" si="17"/>
        <v>0</v>
      </c>
      <c r="Y35" s="34"/>
      <c r="Z35" s="34"/>
      <c r="AA35" s="34"/>
    </row>
    <row r="36" spans="1:27" ht="15.75" x14ac:dyDescent="0.25">
      <c r="A36" s="10">
        <f t="shared" si="12"/>
        <v>5</v>
      </c>
      <c r="B36" s="1" t="s">
        <v>90</v>
      </c>
      <c r="C36" s="39">
        <f t="shared" si="6"/>
        <v>701</v>
      </c>
      <c r="D36" s="40">
        <f t="shared" si="1"/>
        <v>586</v>
      </c>
      <c r="E36" s="40">
        <f t="shared" si="2"/>
        <v>586</v>
      </c>
      <c r="F36" s="40">
        <f t="shared" si="3"/>
        <v>0</v>
      </c>
      <c r="G36" s="40">
        <f t="shared" si="4"/>
        <v>0</v>
      </c>
      <c r="H36" s="34"/>
      <c r="I36" s="32">
        <f t="shared" si="8"/>
        <v>0</v>
      </c>
      <c r="J36" s="34"/>
      <c r="K36" s="34"/>
      <c r="L36" s="34"/>
      <c r="M36" s="34"/>
      <c r="N36" s="34"/>
      <c r="O36" s="34"/>
      <c r="P36" s="34"/>
      <c r="Q36" s="34"/>
      <c r="R36" s="34"/>
      <c r="S36" s="34"/>
      <c r="T36" s="34"/>
      <c r="U36" s="34"/>
      <c r="V36" s="34"/>
      <c r="W36" s="34">
        <f>484+217</f>
        <v>701</v>
      </c>
      <c r="X36" s="34">
        <f t="shared" si="17"/>
        <v>586</v>
      </c>
      <c r="Y36" s="34">
        <f>370+216</f>
        <v>586</v>
      </c>
      <c r="Z36" s="34"/>
      <c r="AA36" s="34"/>
    </row>
    <row r="37" spans="1:27" ht="15.75" x14ac:dyDescent="0.25">
      <c r="A37" s="10">
        <f t="shared" si="12"/>
        <v>6</v>
      </c>
      <c r="B37" s="1" t="s">
        <v>92</v>
      </c>
      <c r="C37" s="39">
        <f t="shared" si="6"/>
        <v>1150</v>
      </c>
      <c r="D37" s="40">
        <f t="shared" si="1"/>
        <v>0</v>
      </c>
      <c r="E37" s="40">
        <f t="shared" si="2"/>
        <v>0</v>
      </c>
      <c r="F37" s="40">
        <f t="shared" si="3"/>
        <v>0</v>
      </c>
      <c r="G37" s="40">
        <f t="shared" si="4"/>
        <v>0</v>
      </c>
      <c r="H37" s="34"/>
      <c r="I37" s="32">
        <f t="shared" si="8"/>
        <v>0</v>
      </c>
      <c r="J37" s="34"/>
      <c r="K37" s="34"/>
      <c r="L37" s="34"/>
      <c r="M37" s="34"/>
      <c r="N37" s="34"/>
      <c r="O37" s="34"/>
      <c r="P37" s="34"/>
      <c r="Q37" s="34"/>
      <c r="R37" s="34"/>
      <c r="S37" s="34"/>
      <c r="T37" s="34"/>
      <c r="U37" s="34"/>
      <c r="V37" s="34"/>
      <c r="W37" s="34">
        <f>780+370</f>
        <v>1150</v>
      </c>
      <c r="X37" s="34">
        <f t="shared" si="17"/>
        <v>0</v>
      </c>
      <c r="Y37" s="34"/>
      <c r="Z37" s="34"/>
      <c r="AA37" s="34"/>
    </row>
    <row r="38" spans="1:27" ht="15.75" x14ac:dyDescent="0.25">
      <c r="A38" s="10">
        <f t="shared" si="12"/>
        <v>7</v>
      </c>
      <c r="B38" s="1" t="s">
        <v>91</v>
      </c>
      <c r="C38" s="39">
        <f t="shared" si="6"/>
        <v>1881</v>
      </c>
      <c r="D38" s="40">
        <f t="shared" si="1"/>
        <v>0</v>
      </c>
      <c r="E38" s="40">
        <f t="shared" si="2"/>
        <v>0</v>
      </c>
      <c r="F38" s="40">
        <f t="shared" si="3"/>
        <v>0</v>
      </c>
      <c r="G38" s="40">
        <f t="shared" si="4"/>
        <v>0</v>
      </c>
      <c r="H38" s="34"/>
      <c r="I38" s="32">
        <f t="shared" si="8"/>
        <v>0</v>
      </c>
      <c r="J38" s="34"/>
      <c r="K38" s="34"/>
      <c r="L38" s="34"/>
      <c r="M38" s="34"/>
      <c r="N38" s="34"/>
      <c r="O38" s="34"/>
      <c r="P38" s="34"/>
      <c r="Q38" s="34"/>
      <c r="R38" s="34"/>
      <c r="S38" s="34"/>
      <c r="T38" s="34"/>
      <c r="U38" s="34"/>
      <c r="V38" s="34"/>
      <c r="W38" s="34">
        <f>1300+581</f>
        <v>1881</v>
      </c>
      <c r="X38" s="34">
        <f t="shared" si="17"/>
        <v>0</v>
      </c>
      <c r="Y38" s="34"/>
      <c r="Z38" s="34"/>
      <c r="AA38" s="34"/>
    </row>
    <row r="39" spans="1:27" ht="15.75" x14ac:dyDescent="0.25">
      <c r="A39" s="10">
        <f t="shared" si="12"/>
        <v>8</v>
      </c>
      <c r="B39" s="1" t="s">
        <v>93</v>
      </c>
      <c r="C39" s="39">
        <f t="shared" si="6"/>
        <v>693</v>
      </c>
      <c r="D39" s="40">
        <f t="shared" si="1"/>
        <v>693</v>
      </c>
      <c r="E39" s="40">
        <f t="shared" si="2"/>
        <v>693</v>
      </c>
      <c r="F39" s="40">
        <f t="shared" si="3"/>
        <v>0</v>
      </c>
      <c r="G39" s="40">
        <f t="shared" si="4"/>
        <v>0</v>
      </c>
      <c r="H39" s="34"/>
      <c r="I39" s="32">
        <f t="shared" si="8"/>
        <v>0</v>
      </c>
      <c r="J39" s="34"/>
      <c r="K39" s="34"/>
      <c r="L39" s="34"/>
      <c r="M39" s="34"/>
      <c r="N39" s="34"/>
      <c r="O39" s="34"/>
      <c r="P39" s="34"/>
      <c r="Q39" s="34"/>
      <c r="R39" s="34"/>
      <c r="S39" s="34"/>
      <c r="T39" s="34"/>
      <c r="U39" s="34"/>
      <c r="V39" s="34"/>
      <c r="W39" s="34">
        <v>693</v>
      </c>
      <c r="X39" s="34">
        <f t="shared" si="17"/>
        <v>693</v>
      </c>
      <c r="Y39" s="34">
        <v>693</v>
      </c>
      <c r="Z39" s="34"/>
      <c r="AA39" s="34"/>
    </row>
    <row r="40" spans="1:27" ht="15.75" x14ac:dyDescent="0.25">
      <c r="A40" s="10">
        <f t="shared" si="12"/>
        <v>9</v>
      </c>
      <c r="B40" s="1" t="s">
        <v>94</v>
      </c>
      <c r="C40" s="39">
        <f t="shared" si="6"/>
        <v>2634</v>
      </c>
      <c r="D40" s="40">
        <f t="shared" si="1"/>
        <v>0</v>
      </c>
      <c r="E40" s="40">
        <f t="shared" si="2"/>
        <v>0</v>
      </c>
      <c r="F40" s="40">
        <f t="shared" si="3"/>
        <v>0</v>
      </c>
      <c r="G40" s="40">
        <f t="shared" si="4"/>
        <v>0</v>
      </c>
      <c r="H40" s="34"/>
      <c r="I40" s="32">
        <f t="shared" si="8"/>
        <v>0</v>
      </c>
      <c r="J40" s="34"/>
      <c r="K40" s="34"/>
      <c r="L40" s="34"/>
      <c r="M40" s="34"/>
      <c r="N40" s="34"/>
      <c r="O40" s="34"/>
      <c r="P40" s="34"/>
      <c r="Q40" s="34"/>
      <c r="R40" s="34"/>
      <c r="S40" s="34"/>
      <c r="T40" s="34"/>
      <c r="U40" s="34"/>
      <c r="V40" s="34"/>
      <c r="W40" s="34">
        <f>2100+534</f>
        <v>2634</v>
      </c>
      <c r="X40" s="34">
        <f t="shared" si="17"/>
        <v>0</v>
      </c>
      <c r="Y40" s="34"/>
      <c r="Z40" s="34"/>
      <c r="AA40" s="34"/>
    </row>
    <row r="41" spans="1:27" ht="15.75" x14ac:dyDescent="0.25">
      <c r="A41" s="10">
        <f t="shared" si="12"/>
        <v>10</v>
      </c>
      <c r="B41" s="1" t="s">
        <v>95</v>
      </c>
      <c r="C41" s="39">
        <f t="shared" si="6"/>
        <v>2835</v>
      </c>
      <c r="D41" s="40">
        <f t="shared" si="1"/>
        <v>0</v>
      </c>
      <c r="E41" s="40">
        <f t="shared" si="2"/>
        <v>0</v>
      </c>
      <c r="F41" s="40">
        <f t="shared" si="3"/>
        <v>0</v>
      </c>
      <c r="G41" s="40">
        <f t="shared" si="4"/>
        <v>0</v>
      </c>
      <c r="H41" s="34"/>
      <c r="I41" s="32">
        <f t="shared" si="8"/>
        <v>0</v>
      </c>
      <c r="J41" s="34"/>
      <c r="K41" s="34"/>
      <c r="L41" s="34"/>
      <c r="M41" s="34"/>
      <c r="N41" s="34"/>
      <c r="O41" s="34"/>
      <c r="P41" s="34"/>
      <c r="Q41" s="34"/>
      <c r="R41" s="34"/>
      <c r="S41" s="34"/>
      <c r="T41" s="34"/>
      <c r="U41" s="34"/>
      <c r="V41" s="34"/>
      <c r="W41" s="34">
        <f>1935+900</f>
        <v>2835</v>
      </c>
      <c r="X41" s="34">
        <f t="shared" si="17"/>
        <v>0</v>
      </c>
      <c r="Y41" s="34"/>
      <c r="Z41" s="34"/>
      <c r="AA41" s="34"/>
    </row>
    <row r="42" spans="1:27" ht="15.75" x14ac:dyDescent="0.25">
      <c r="A42" s="10">
        <f t="shared" si="12"/>
        <v>11</v>
      </c>
      <c r="B42" s="1" t="s">
        <v>96</v>
      </c>
      <c r="C42" s="39">
        <f t="shared" si="6"/>
        <v>3806</v>
      </c>
      <c r="D42" s="40">
        <f t="shared" si="1"/>
        <v>0</v>
      </c>
      <c r="E42" s="40">
        <f t="shared" si="2"/>
        <v>0</v>
      </c>
      <c r="F42" s="40">
        <f t="shared" si="3"/>
        <v>0</v>
      </c>
      <c r="G42" s="40">
        <f t="shared" si="4"/>
        <v>0</v>
      </c>
      <c r="H42" s="34"/>
      <c r="I42" s="32">
        <f t="shared" si="8"/>
        <v>0</v>
      </c>
      <c r="J42" s="34"/>
      <c r="K42" s="34"/>
      <c r="L42" s="34"/>
      <c r="M42" s="34"/>
      <c r="N42" s="34"/>
      <c r="O42" s="34"/>
      <c r="P42" s="34"/>
      <c r="Q42" s="34"/>
      <c r="R42" s="34"/>
      <c r="S42" s="34"/>
      <c r="T42" s="34"/>
      <c r="U42" s="34"/>
      <c r="V42" s="34"/>
      <c r="W42" s="34">
        <f>2670+1136</f>
        <v>3806</v>
      </c>
      <c r="X42" s="34">
        <f t="shared" si="17"/>
        <v>0</v>
      </c>
      <c r="Y42" s="34"/>
      <c r="Z42" s="34"/>
      <c r="AA42" s="34"/>
    </row>
    <row r="43" spans="1:27" ht="15.75" x14ac:dyDescent="0.25">
      <c r="A43" s="10">
        <f t="shared" si="12"/>
        <v>12</v>
      </c>
      <c r="B43" s="1" t="s">
        <v>97</v>
      </c>
      <c r="C43" s="39">
        <f t="shared" si="6"/>
        <v>1878</v>
      </c>
      <c r="D43" s="40">
        <f t="shared" si="1"/>
        <v>1878</v>
      </c>
      <c r="E43" s="40">
        <f t="shared" si="2"/>
        <v>1878</v>
      </c>
      <c r="F43" s="40">
        <f t="shared" si="3"/>
        <v>0</v>
      </c>
      <c r="G43" s="40">
        <f t="shared" si="4"/>
        <v>0</v>
      </c>
      <c r="H43" s="34"/>
      <c r="I43" s="32">
        <f t="shared" si="8"/>
        <v>0</v>
      </c>
      <c r="J43" s="34"/>
      <c r="K43" s="34"/>
      <c r="L43" s="34"/>
      <c r="M43" s="34"/>
      <c r="N43" s="34"/>
      <c r="O43" s="34"/>
      <c r="P43" s="34"/>
      <c r="Q43" s="34"/>
      <c r="R43" s="34"/>
      <c r="S43" s="34"/>
      <c r="T43" s="34"/>
      <c r="U43" s="34"/>
      <c r="V43" s="34"/>
      <c r="W43" s="34">
        <f>1300+578</f>
        <v>1878</v>
      </c>
      <c r="X43" s="34">
        <f t="shared" si="17"/>
        <v>1878</v>
      </c>
      <c r="Y43" s="34">
        <f>1300+578</f>
        <v>1878</v>
      </c>
      <c r="Z43" s="34"/>
      <c r="AA43" s="34"/>
    </row>
    <row r="44" spans="1:27" ht="15.75" x14ac:dyDescent="0.25">
      <c r="A44" s="10">
        <f t="shared" si="12"/>
        <v>13</v>
      </c>
      <c r="B44" s="1" t="s">
        <v>98</v>
      </c>
      <c r="C44" s="39">
        <f t="shared" si="6"/>
        <v>2752</v>
      </c>
      <c r="D44" s="40">
        <f t="shared" si="1"/>
        <v>2657</v>
      </c>
      <c r="E44" s="40">
        <f t="shared" si="2"/>
        <v>2530</v>
      </c>
      <c r="F44" s="40">
        <f t="shared" si="3"/>
        <v>0</v>
      </c>
      <c r="G44" s="40">
        <f t="shared" si="4"/>
        <v>127</v>
      </c>
      <c r="H44" s="34"/>
      <c r="I44" s="32">
        <f t="shared" si="8"/>
        <v>0</v>
      </c>
      <c r="J44" s="34"/>
      <c r="K44" s="34"/>
      <c r="L44" s="34"/>
      <c r="M44" s="34"/>
      <c r="N44" s="34"/>
      <c r="O44" s="34"/>
      <c r="P44" s="34"/>
      <c r="Q44" s="34"/>
      <c r="R44" s="34"/>
      <c r="S44" s="34"/>
      <c r="T44" s="34"/>
      <c r="U44" s="34"/>
      <c r="V44" s="34"/>
      <c r="W44" s="34">
        <f>1960+792</f>
        <v>2752</v>
      </c>
      <c r="X44" s="34">
        <f t="shared" si="17"/>
        <v>2657</v>
      </c>
      <c r="Y44" s="34">
        <f>1950+580</f>
        <v>2530</v>
      </c>
      <c r="Z44" s="34"/>
      <c r="AA44" s="34">
        <v>127</v>
      </c>
    </row>
    <row r="45" spans="1:27" ht="15.75" x14ac:dyDescent="0.25">
      <c r="A45" s="10">
        <f t="shared" si="12"/>
        <v>14</v>
      </c>
      <c r="B45" s="1" t="s">
        <v>99</v>
      </c>
      <c r="C45" s="39">
        <f t="shared" si="6"/>
        <v>1717</v>
      </c>
      <c r="D45" s="40">
        <f t="shared" si="1"/>
        <v>0</v>
      </c>
      <c r="E45" s="40">
        <f t="shared" si="2"/>
        <v>0</v>
      </c>
      <c r="F45" s="40">
        <f t="shared" si="3"/>
        <v>0</v>
      </c>
      <c r="G45" s="40">
        <f t="shared" si="4"/>
        <v>0</v>
      </c>
      <c r="H45" s="34"/>
      <c r="I45" s="32">
        <f t="shared" si="8"/>
        <v>0</v>
      </c>
      <c r="J45" s="34"/>
      <c r="K45" s="34"/>
      <c r="L45" s="34"/>
      <c r="M45" s="34"/>
      <c r="N45" s="34"/>
      <c r="O45" s="34"/>
      <c r="P45" s="34"/>
      <c r="Q45" s="34"/>
      <c r="R45" s="34"/>
      <c r="S45" s="34"/>
      <c r="T45" s="34"/>
      <c r="U45" s="34"/>
      <c r="V45" s="34"/>
      <c r="W45" s="34">
        <f>1121+596</f>
        <v>1717</v>
      </c>
      <c r="X45" s="34">
        <f t="shared" si="17"/>
        <v>0</v>
      </c>
      <c r="Y45" s="34"/>
      <c r="Z45" s="34"/>
      <c r="AA45" s="34"/>
    </row>
    <row r="46" spans="1:27" ht="15.75" x14ac:dyDescent="0.25">
      <c r="A46" s="10">
        <f t="shared" si="12"/>
        <v>15</v>
      </c>
      <c r="B46" s="1" t="s">
        <v>100</v>
      </c>
      <c r="C46" s="39">
        <f t="shared" si="6"/>
        <v>2603</v>
      </c>
      <c r="D46" s="40">
        <f t="shared" si="1"/>
        <v>0</v>
      </c>
      <c r="E46" s="40">
        <f t="shared" si="2"/>
        <v>0</v>
      </c>
      <c r="F46" s="40">
        <f t="shared" si="3"/>
        <v>0</v>
      </c>
      <c r="G46" s="40">
        <f t="shared" si="4"/>
        <v>0</v>
      </c>
      <c r="H46" s="34"/>
      <c r="I46" s="32">
        <f t="shared" si="8"/>
        <v>0</v>
      </c>
      <c r="J46" s="34"/>
      <c r="K46" s="34"/>
      <c r="L46" s="34"/>
      <c r="M46" s="34"/>
      <c r="N46" s="34"/>
      <c r="O46" s="34"/>
      <c r="P46" s="34"/>
      <c r="Q46" s="34"/>
      <c r="R46" s="34"/>
      <c r="S46" s="34"/>
      <c r="T46" s="34"/>
      <c r="U46" s="34"/>
      <c r="V46" s="34"/>
      <c r="W46" s="34">
        <f>1941+662</f>
        <v>2603</v>
      </c>
      <c r="X46" s="34">
        <f t="shared" si="17"/>
        <v>0</v>
      </c>
      <c r="Y46" s="34"/>
      <c r="Z46" s="34"/>
      <c r="AA46" s="34"/>
    </row>
    <row r="47" spans="1:27" ht="15.75" x14ac:dyDescent="0.25">
      <c r="A47" s="10">
        <f t="shared" si="12"/>
        <v>16</v>
      </c>
      <c r="B47" s="1" t="s">
        <v>101</v>
      </c>
      <c r="C47" s="39">
        <f t="shared" si="6"/>
        <v>1697</v>
      </c>
      <c r="D47" s="40">
        <f t="shared" si="1"/>
        <v>1578</v>
      </c>
      <c r="E47" s="40">
        <f t="shared" si="2"/>
        <v>1578</v>
      </c>
      <c r="F47" s="40">
        <f t="shared" si="3"/>
        <v>0</v>
      </c>
      <c r="G47" s="40">
        <f t="shared" si="4"/>
        <v>0</v>
      </c>
      <c r="H47" s="34"/>
      <c r="I47" s="32">
        <f t="shared" si="8"/>
        <v>0</v>
      </c>
      <c r="J47" s="34"/>
      <c r="K47" s="34"/>
      <c r="L47" s="34"/>
      <c r="M47" s="34"/>
      <c r="N47" s="34"/>
      <c r="O47" s="34"/>
      <c r="P47" s="34"/>
      <c r="Q47" s="34"/>
      <c r="R47" s="34"/>
      <c r="S47" s="34"/>
      <c r="T47" s="34"/>
      <c r="U47" s="34"/>
      <c r="V47" s="34"/>
      <c r="W47" s="34">
        <f>1205+492</f>
        <v>1697</v>
      </c>
      <c r="X47" s="34">
        <f t="shared" si="17"/>
        <v>1578</v>
      </c>
      <c r="Y47" s="34">
        <f>1118+460</f>
        <v>1578</v>
      </c>
      <c r="Z47" s="34"/>
      <c r="AA47" s="34"/>
    </row>
    <row r="48" spans="1:27" ht="15.75" x14ac:dyDescent="0.25">
      <c r="A48" s="10">
        <f t="shared" si="12"/>
        <v>17</v>
      </c>
      <c r="B48" s="1" t="s">
        <v>102</v>
      </c>
      <c r="C48" s="39">
        <f t="shared" si="6"/>
        <v>920</v>
      </c>
      <c r="D48" s="40">
        <f t="shared" si="1"/>
        <v>560</v>
      </c>
      <c r="E48" s="40">
        <f t="shared" si="2"/>
        <v>560</v>
      </c>
      <c r="F48" s="40">
        <f t="shared" si="3"/>
        <v>0</v>
      </c>
      <c r="G48" s="40">
        <f t="shared" si="4"/>
        <v>0</v>
      </c>
      <c r="H48" s="34"/>
      <c r="I48" s="32">
        <f t="shared" si="8"/>
        <v>0</v>
      </c>
      <c r="J48" s="34"/>
      <c r="K48" s="34"/>
      <c r="L48" s="34"/>
      <c r="M48" s="34"/>
      <c r="N48" s="34"/>
      <c r="O48" s="34"/>
      <c r="P48" s="34"/>
      <c r="Q48" s="34"/>
      <c r="R48" s="34"/>
      <c r="S48" s="34"/>
      <c r="T48" s="34"/>
      <c r="U48" s="34"/>
      <c r="V48" s="34"/>
      <c r="W48" s="34">
        <f>560+360</f>
        <v>920</v>
      </c>
      <c r="X48" s="34">
        <f t="shared" si="17"/>
        <v>560</v>
      </c>
      <c r="Y48" s="34">
        <v>560</v>
      </c>
      <c r="Z48" s="34"/>
      <c r="AA48" s="34"/>
    </row>
    <row r="49" spans="1:27" ht="15.75" x14ac:dyDescent="0.25">
      <c r="A49" s="10">
        <f t="shared" si="12"/>
        <v>18</v>
      </c>
      <c r="B49" s="1" t="s">
        <v>103</v>
      </c>
      <c r="C49" s="39">
        <f t="shared" si="6"/>
        <v>2960</v>
      </c>
      <c r="D49" s="40">
        <f t="shared" si="1"/>
        <v>2905</v>
      </c>
      <c r="E49" s="40">
        <f t="shared" si="2"/>
        <v>2905</v>
      </c>
      <c r="F49" s="40">
        <f t="shared" si="3"/>
        <v>0</v>
      </c>
      <c r="G49" s="40">
        <f t="shared" si="4"/>
        <v>0</v>
      </c>
      <c r="H49" s="34"/>
      <c r="I49" s="32">
        <f t="shared" si="8"/>
        <v>0</v>
      </c>
      <c r="J49" s="34"/>
      <c r="K49" s="34"/>
      <c r="L49" s="34"/>
      <c r="M49" s="34"/>
      <c r="N49" s="34"/>
      <c r="O49" s="34"/>
      <c r="P49" s="34"/>
      <c r="Q49" s="34"/>
      <c r="R49" s="34"/>
      <c r="S49" s="34"/>
      <c r="T49" s="34"/>
      <c r="U49" s="34"/>
      <c r="V49" s="34"/>
      <c r="W49" s="34">
        <f>1920+1040</f>
        <v>2960</v>
      </c>
      <c r="X49" s="34">
        <f t="shared" si="17"/>
        <v>2905</v>
      </c>
      <c r="Y49" s="34">
        <f>1865+1040</f>
        <v>2905</v>
      </c>
      <c r="Z49" s="34"/>
      <c r="AA49" s="34"/>
    </row>
    <row r="50" spans="1:27" ht="15.75" x14ac:dyDescent="0.25">
      <c r="A50" s="10">
        <f t="shared" si="12"/>
        <v>19</v>
      </c>
      <c r="B50" s="1" t="s">
        <v>104</v>
      </c>
      <c r="C50" s="39">
        <f t="shared" si="6"/>
        <v>1422</v>
      </c>
      <c r="D50" s="40">
        <f t="shared" si="1"/>
        <v>0</v>
      </c>
      <c r="E50" s="40">
        <f t="shared" si="2"/>
        <v>0</v>
      </c>
      <c r="F50" s="40">
        <f t="shared" si="3"/>
        <v>0</v>
      </c>
      <c r="G50" s="40">
        <f t="shared" si="4"/>
        <v>0</v>
      </c>
      <c r="H50" s="34"/>
      <c r="I50" s="32">
        <f t="shared" si="8"/>
        <v>0</v>
      </c>
      <c r="J50" s="34"/>
      <c r="K50" s="34"/>
      <c r="L50" s="34"/>
      <c r="M50" s="34"/>
      <c r="N50" s="34"/>
      <c r="O50" s="34"/>
      <c r="P50" s="34"/>
      <c r="Q50" s="34"/>
      <c r="R50" s="34"/>
      <c r="S50" s="34"/>
      <c r="T50" s="34"/>
      <c r="U50" s="34"/>
      <c r="V50" s="34"/>
      <c r="W50" s="34">
        <f>853+569</f>
        <v>1422</v>
      </c>
      <c r="X50" s="34">
        <f t="shared" si="17"/>
        <v>0</v>
      </c>
      <c r="Y50" s="34"/>
      <c r="Z50" s="34"/>
      <c r="AA50" s="34"/>
    </row>
    <row r="51" spans="1:27" ht="15.75" x14ac:dyDescent="0.25">
      <c r="A51" s="10">
        <f t="shared" si="12"/>
        <v>20</v>
      </c>
      <c r="B51" s="1" t="s">
        <v>105</v>
      </c>
      <c r="C51" s="39">
        <f t="shared" si="6"/>
        <v>840</v>
      </c>
      <c r="D51" s="40">
        <f t="shared" si="1"/>
        <v>416.19900000000001</v>
      </c>
      <c r="E51" s="40">
        <f t="shared" si="2"/>
        <v>416.19900000000001</v>
      </c>
      <c r="F51" s="40">
        <f t="shared" si="3"/>
        <v>0</v>
      </c>
      <c r="G51" s="40">
        <f t="shared" si="4"/>
        <v>0</v>
      </c>
      <c r="H51" s="34"/>
      <c r="I51" s="32">
        <f t="shared" si="8"/>
        <v>0</v>
      </c>
      <c r="J51" s="34"/>
      <c r="K51" s="34"/>
      <c r="L51" s="34"/>
      <c r="M51" s="34"/>
      <c r="N51" s="34"/>
      <c r="O51" s="34"/>
      <c r="P51" s="34"/>
      <c r="Q51" s="34"/>
      <c r="R51" s="34"/>
      <c r="S51" s="34"/>
      <c r="T51" s="34"/>
      <c r="U51" s="34"/>
      <c r="V51" s="34"/>
      <c r="W51" s="34">
        <f>520+320</f>
        <v>840</v>
      </c>
      <c r="X51" s="34">
        <f t="shared" si="17"/>
        <v>416.19900000000001</v>
      </c>
      <c r="Y51" s="34">
        <f>386.199+30</f>
        <v>416.19900000000001</v>
      </c>
      <c r="Z51" s="34"/>
      <c r="AA51" s="34"/>
    </row>
    <row r="52" spans="1:27" ht="15.75" x14ac:dyDescent="0.25">
      <c r="A52" s="10">
        <f t="shared" si="12"/>
        <v>21</v>
      </c>
      <c r="B52" s="1" t="s">
        <v>106</v>
      </c>
      <c r="C52" s="39">
        <f t="shared" si="6"/>
        <v>1120</v>
      </c>
      <c r="D52" s="40">
        <f t="shared" si="1"/>
        <v>1141.527</v>
      </c>
      <c r="E52" s="40">
        <f t="shared" si="2"/>
        <v>1076.527</v>
      </c>
      <c r="F52" s="40">
        <f t="shared" si="3"/>
        <v>0</v>
      </c>
      <c r="G52" s="40">
        <f t="shared" si="4"/>
        <v>65</v>
      </c>
      <c r="H52" s="34"/>
      <c r="I52" s="32">
        <f t="shared" si="8"/>
        <v>0</v>
      </c>
      <c r="J52" s="34"/>
      <c r="K52" s="34"/>
      <c r="L52" s="34"/>
      <c r="M52" s="34"/>
      <c r="N52" s="34"/>
      <c r="O52" s="34"/>
      <c r="P52" s="34"/>
      <c r="Q52" s="34"/>
      <c r="R52" s="34"/>
      <c r="S52" s="34"/>
      <c r="T52" s="34"/>
      <c r="U52" s="34"/>
      <c r="V52" s="34"/>
      <c r="W52" s="34">
        <f>730+390</f>
        <v>1120</v>
      </c>
      <c r="X52" s="34">
        <f t="shared" si="17"/>
        <v>1141.527</v>
      </c>
      <c r="Y52" s="34">
        <f>670+406.527</f>
        <v>1076.527</v>
      </c>
      <c r="Z52" s="34"/>
      <c r="AA52" s="34">
        <v>65</v>
      </c>
    </row>
    <row r="53" spans="1:27" s="6" customFormat="1" ht="63" x14ac:dyDescent="0.25">
      <c r="A53" s="42" t="s">
        <v>107</v>
      </c>
      <c r="B53" s="43" t="s">
        <v>133</v>
      </c>
      <c r="C53" s="41">
        <f t="shared" si="6"/>
        <v>263232.81</v>
      </c>
      <c r="D53" s="38">
        <f t="shared" si="1"/>
        <v>154863.16299999997</v>
      </c>
      <c r="E53" s="38">
        <f t="shared" si="2"/>
        <v>145862.95499999999</v>
      </c>
      <c r="F53" s="38">
        <f t="shared" si="3"/>
        <v>7216.1280000000006</v>
      </c>
      <c r="G53" s="38">
        <f t="shared" si="4"/>
        <v>1784.08</v>
      </c>
      <c r="H53" s="36">
        <f>SUBTOTAL(9,H54:H92)</f>
        <v>11687</v>
      </c>
      <c r="I53" s="36">
        <f t="shared" ref="I53:V53" si="18">SUBTOTAL(9,I54:I92)</f>
        <v>0</v>
      </c>
      <c r="J53" s="36">
        <f t="shared" si="18"/>
        <v>0</v>
      </c>
      <c r="K53" s="36">
        <f t="shared" si="18"/>
        <v>0</v>
      </c>
      <c r="L53" s="36">
        <f t="shared" si="18"/>
        <v>0</v>
      </c>
      <c r="M53" s="36">
        <f t="shared" si="18"/>
        <v>50731.8</v>
      </c>
      <c r="N53" s="36">
        <f>SUBTOTAL(9,N54:N92)</f>
        <v>14605.380000000001</v>
      </c>
      <c r="O53" s="36">
        <f t="shared" si="18"/>
        <v>14579.580000000002</v>
      </c>
      <c r="P53" s="36">
        <f t="shared" si="18"/>
        <v>0</v>
      </c>
      <c r="Q53" s="36">
        <f t="shared" si="18"/>
        <v>25.8</v>
      </c>
      <c r="R53" s="36">
        <f t="shared" si="18"/>
        <v>137245.53</v>
      </c>
      <c r="S53" s="36">
        <f t="shared" si="18"/>
        <v>81227.399999999994</v>
      </c>
      <c r="T53" s="36">
        <f t="shared" si="18"/>
        <v>76800.72</v>
      </c>
      <c r="U53" s="36">
        <f t="shared" si="18"/>
        <v>2668.4</v>
      </c>
      <c r="V53" s="36">
        <f t="shared" si="18"/>
        <v>1758.28</v>
      </c>
      <c r="W53" s="36">
        <f>SUBTOTAL(9,W54:W92)</f>
        <v>63568.480000000003</v>
      </c>
      <c r="X53" s="36">
        <f t="shared" ref="X53:AA53" si="19">SUBTOTAL(9,X54:X92)</f>
        <v>59030.382999999994</v>
      </c>
      <c r="Y53" s="36">
        <f t="shared" si="19"/>
        <v>54482.654999999992</v>
      </c>
      <c r="Z53" s="36">
        <f t="shared" si="19"/>
        <v>4547.7280000000001</v>
      </c>
      <c r="AA53" s="36">
        <f t="shared" si="19"/>
        <v>0</v>
      </c>
    </row>
    <row r="54" spans="1:27" s="6" customFormat="1" ht="31.5" x14ac:dyDescent="0.25">
      <c r="A54" s="44" t="s">
        <v>0</v>
      </c>
      <c r="B54" s="45" t="s">
        <v>108</v>
      </c>
      <c r="C54" s="39">
        <f t="shared" si="6"/>
        <v>199664.33000000002</v>
      </c>
      <c r="D54" s="40">
        <f t="shared" si="1"/>
        <v>95832.78</v>
      </c>
      <c r="E54" s="40">
        <f t="shared" si="2"/>
        <v>91380.3</v>
      </c>
      <c r="F54" s="40">
        <f t="shared" si="3"/>
        <v>2668.4</v>
      </c>
      <c r="G54" s="40">
        <f t="shared" si="4"/>
        <v>1784.08</v>
      </c>
      <c r="H54" s="35">
        <f>SUBTOTAL(9,H55:H65)</f>
        <v>11687</v>
      </c>
      <c r="I54" s="35">
        <f t="shared" ref="I54:V54" si="20">SUBTOTAL(9,I55:I65)</f>
        <v>0</v>
      </c>
      <c r="J54" s="35">
        <f t="shared" si="20"/>
        <v>0</v>
      </c>
      <c r="K54" s="35">
        <f t="shared" si="20"/>
        <v>0</v>
      </c>
      <c r="L54" s="35">
        <f t="shared" si="20"/>
        <v>0</v>
      </c>
      <c r="M54" s="35">
        <f t="shared" si="20"/>
        <v>50731.8</v>
      </c>
      <c r="N54" s="35">
        <f t="shared" si="20"/>
        <v>14605.380000000001</v>
      </c>
      <c r="O54" s="35">
        <f t="shared" si="20"/>
        <v>14579.580000000002</v>
      </c>
      <c r="P54" s="35">
        <f t="shared" si="20"/>
        <v>0</v>
      </c>
      <c r="Q54" s="35">
        <f t="shared" si="20"/>
        <v>25.8</v>
      </c>
      <c r="R54" s="35">
        <f t="shared" si="20"/>
        <v>137245.53</v>
      </c>
      <c r="S54" s="35">
        <f t="shared" si="20"/>
        <v>81227.399999999994</v>
      </c>
      <c r="T54" s="35">
        <f t="shared" si="20"/>
        <v>76800.72</v>
      </c>
      <c r="U54" s="35">
        <f t="shared" si="20"/>
        <v>2668.4</v>
      </c>
      <c r="V54" s="35">
        <f t="shared" si="20"/>
        <v>1758.28</v>
      </c>
      <c r="W54" s="35">
        <v>0</v>
      </c>
      <c r="X54" s="35">
        <v>0</v>
      </c>
      <c r="Y54" s="35">
        <v>0</v>
      </c>
      <c r="Z54" s="35">
        <v>0</v>
      </c>
      <c r="AA54" s="35">
        <v>0</v>
      </c>
    </row>
    <row r="55" spans="1:27" ht="15.75" x14ac:dyDescent="0.25">
      <c r="A55" s="46">
        <v>1</v>
      </c>
      <c r="B55" s="47" t="s">
        <v>109</v>
      </c>
      <c r="C55" s="39">
        <f t="shared" si="6"/>
        <v>37111</v>
      </c>
      <c r="D55" s="40">
        <f t="shared" si="1"/>
        <v>9140</v>
      </c>
      <c r="E55" s="40">
        <f t="shared" si="2"/>
        <v>7700</v>
      </c>
      <c r="F55" s="40">
        <f t="shared" si="3"/>
        <v>1101</v>
      </c>
      <c r="G55" s="40">
        <f t="shared" si="4"/>
        <v>339</v>
      </c>
      <c r="H55" s="34">
        <v>2449</v>
      </c>
      <c r="I55" s="34">
        <v>0</v>
      </c>
      <c r="J55" s="34">
        <v>0</v>
      </c>
      <c r="K55" s="34">
        <v>0</v>
      </c>
      <c r="L55" s="34">
        <v>0</v>
      </c>
      <c r="M55" s="34">
        <v>9664</v>
      </c>
      <c r="N55" s="34">
        <v>0</v>
      </c>
      <c r="O55" s="34">
        <v>0</v>
      </c>
      <c r="P55" s="34">
        <v>0</v>
      </c>
      <c r="Q55" s="34">
        <v>0</v>
      </c>
      <c r="R55" s="34">
        <v>24998</v>
      </c>
      <c r="S55" s="34">
        <v>9140</v>
      </c>
      <c r="T55" s="34">
        <v>7700</v>
      </c>
      <c r="U55" s="34">
        <v>1101</v>
      </c>
      <c r="V55" s="34">
        <v>339</v>
      </c>
      <c r="W55" s="34"/>
      <c r="X55" s="34">
        <v>0</v>
      </c>
      <c r="Y55" s="34"/>
      <c r="Z55" s="34"/>
      <c r="AA55" s="34"/>
    </row>
    <row r="56" spans="1:27" ht="15.75" x14ac:dyDescent="0.25">
      <c r="A56" s="46">
        <v>2</v>
      </c>
      <c r="B56" s="47" t="s">
        <v>110</v>
      </c>
      <c r="C56" s="39">
        <f t="shared" si="6"/>
        <v>66960</v>
      </c>
      <c r="D56" s="40">
        <f t="shared" si="1"/>
        <v>21721</v>
      </c>
      <c r="E56" s="40">
        <f t="shared" si="2"/>
        <v>19880</v>
      </c>
      <c r="F56" s="40">
        <f t="shared" si="3"/>
        <v>1399</v>
      </c>
      <c r="G56" s="40">
        <f t="shared" si="4"/>
        <v>442</v>
      </c>
      <c r="H56" s="34">
        <v>3494</v>
      </c>
      <c r="I56" s="34">
        <v>0</v>
      </c>
      <c r="J56" s="34">
        <v>0</v>
      </c>
      <c r="K56" s="34">
        <v>0</v>
      </c>
      <c r="L56" s="34">
        <v>0</v>
      </c>
      <c r="M56" s="34">
        <v>14145</v>
      </c>
      <c r="N56" s="34">
        <v>0</v>
      </c>
      <c r="O56" s="34">
        <v>0</v>
      </c>
      <c r="P56" s="34">
        <v>0</v>
      </c>
      <c r="Q56" s="34">
        <v>0</v>
      </c>
      <c r="R56" s="34">
        <v>49321</v>
      </c>
      <c r="S56" s="34">
        <v>21721</v>
      </c>
      <c r="T56" s="34">
        <v>19880</v>
      </c>
      <c r="U56" s="34">
        <v>1399</v>
      </c>
      <c r="V56" s="34">
        <v>442</v>
      </c>
      <c r="W56" s="34"/>
      <c r="X56" s="34">
        <v>0</v>
      </c>
      <c r="Y56" s="34"/>
      <c r="Z56" s="34"/>
      <c r="AA56" s="34"/>
    </row>
    <row r="57" spans="1:27" ht="15.75" x14ac:dyDescent="0.25">
      <c r="A57" s="46">
        <v>3</v>
      </c>
      <c r="B57" s="47" t="s">
        <v>111</v>
      </c>
      <c r="C57" s="39">
        <f t="shared" si="6"/>
        <v>4926</v>
      </c>
      <c r="D57" s="40">
        <f t="shared" si="1"/>
        <v>402.5</v>
      </c>
      <c r="E57" s="40">
        <f t="shared" si="2"/>
        <v>253.5</v>
      </c>
      <c r="F57" s="40">
        <f t="shared" si="3"/>
        <v>104</v>
      </c>
      <c r="G57" s="40">
        <f t="shared" si="4"/>
        <v>45</v>
      </c>
      <c r="H57" s="34">
        <v>448</v>
      </c>
      <c r="I57" s="34">
        <v>0</v>
      </c>
      <c r="J57" s="34">
        <v>0</v>
      </c>
      <c r="K57" s="34">
        <v>0</v>
      </c>
      <c r="L57" s="34">
        <v>0</v>
      </c>
      <c r="M57" s="34">
        <v>1586</v>
      </c>
      <c r="N57" s="34">
        <v>0</v>
      </c>
      <c r="O57" s="34">
        <v>0</v>
      </c>
      <c r="P57" s="34">
        <v>0</v>
      </c>
      <c r="Q57" s="34">
        <v>0</v>
      </c>
      <c r="R57" s="34">
        <v>2892</v>
      </c>
      <c r="S57" s="34">
        <v>402.5</v>
      </c>
      <c r="T57" s="34">
        <v>253.5</v>
      </c>
      <c r="U57" s="34">
        <v>104</v>
      </c>
      <c r="V57" s="34">
        <v>45</v>
      </c>
      <c r="W57" s="34"/>
      <c r="X57" s="34">
        <v>0</v>
      </c>
      <c r="Y57" s="34"/>
      <c r="Z57" s="34"/>
      <c r="AA57" s="34"/>
    </row>
    <row r="58" spans="1:27" ht="15.75" x14ac:dyDescent="0.25">
      <c r="A58" s="46">
        <v>4</v>
      </c>
      <c r="B58" s="47" t="s">
        <v>112</v>
      </c>
      <c r="C58" s="39">
        <f t="shared" si="6"/>
        <v>1138.6300000000001</v>
      </c>
      <c r="D58" s="40">
        <f t="shared" si="1"/>
        <v>650.9</v>
      </c>
      <c r="E58" s="40">
        <f t="shared" si="2"/>
        <v>563.4</v>
      </c>
      <c r="F58" s="40">
        <f t="shared" si="3"/>
        <v>64.400000000000006</v>
      </c>
      <c r="G58" s="40">
        <f t="shared" si="4"/>
        <v>23.1</v>
      </c>
      <c r="H58" s="34">
        <v>107</v>
      </c>
      <c r="I58" s="34">
        <v>0</v>
      </c>
      <c r="J58" s="34">
        <v>0</v>
      </c>
      <c r="K58" s="34">
        <v>0</v>
      </c>
      <c r="L58" s="34">
        <v>0</v>
      </c>
      <c r="M58" s="34">
        <v>377</v>
      </c>
      <c r="N58" s="34">
        <v>0</v>
      </c>
      <c r="O58" s="34">
        <v>0</v>
      </c>
      <c r="P58" s="34">
        <v>0</v>
      </c>
      <c r="Q58" s="34">
        <v>0</v>
      </c>
      <c r="R58" s="34">
        <v>654.63</v>
      </c>
      <c r="S58" s="34">
        <v>650.9</v>
      </c>
      <c r="T58" s="34">
        <v>563.4</v>
      </c>
      <c r="U58" s="34">
        <v>64.400000000000006</v>
      </c>
      <c r="V58" s="34">
        <v>23.1</v>
      </c>
      <c r="W58" s="34"/>
      <c r="X58" s="34">
        <v>0</v>
      </c>
      <c r="Y58" s="34"/>
      <c r="Z58" s="34"/>
      <c r="AA58" s="34"/>
    </row>
    <row r="59" spans="1:27" ht="15.75" x14ac:dyDescent="0.25">
      <c r="A59" s="46">
        <v>5</v>
      </c>
      <c r="B59" s="47" t="s">
        <v>113</v>
      </c>
      <c r="C59" s="39">
        <f t="shared" si="6"/>
        <v>1560.7</v>
      </c>
      <c r="D59" s="40">
        <f t="shared" si="1"/>
        <v>144.6</v>
      </c>
      <c r="E59" s="40">
        <f t="shared" si="2"/>
        <v>144.6</v>
      </c>
      <c r="F59" s="40">
        <f t="shared" si="3"/>
        <v>0</v>
      </c>
      <c r="G59" s="40">
        <f t="shared" si="4"/>
        <v>0</v>
      </c>
      <c r="H59" s="34">
        <v>160</v>
      </c>
      <c r="I59" s="34">
        <v>0</v>
      </c>
      <c r="J59" s="34">
        <v>0</v>
      </c>
      <c r="K59" s="34">
        <v>0</v>
      </c>
      <c r="L59" s="34">
        <v>0</v>
      </c>
      <c r="M59" s="34">
        <v>566</v>
      </c>
      <c r="N59" s="34">
        <v>0</v>
      </c>
      <c r="O59" s="34">
        <v>0</v>
      </c>
      <c r="P59" s="34">
        <v>0</v>
      </c>
      <c r="Q59" s="34">
        <v>0</v>
      </c>
      <c r="R59" s="34">
        <v>834.7</v>
      </c>
      <c r="S59" s="34">
        <v>144.6</v>
      </c>
      <c r="T59" s="34">
        <v>144.6</v>
      </c>
      <c r="U59" s="34">
        <v>0</v>
      </c>
      <c r="V59" s="34">
        <v>0</v>
      </c>
      <c r="W59" s="34"/>
      <c r="X59" s="34">
        <v>0</v>
      </c>
      <c r="Y59" s="34"/>
      <c r="Z59" s="34"/>
      <c r="AA59" s="34"/>
    </row>
    <row r="60" spans="1:27" ht="15.75" x14ac:dyDescent="0.25">
      <c r="A60" s="46">
        <v>6</v>
      </c>
      <c r="B60" s="47" t="s">
        <v>76</v>
      </c>
      <c r="C60" s="39">
        <f t="shared" si="6"/>
        <v>49572.39</v>
      </c>
      <c r="D60" s="40">
        <f t="shared" si="1"/>
        <v>33335.01</v>
      </c>
      <c r="E60" s="40">
        <f t="shared" si="2"/>
        <v>33335.01</v>
      </c>
      <c r="F60" s="40">
        <f t="shared" si="3"/>
        <v>0</v>
      </c>
      <c r="G60" s="40">
        <f t="shared" si="4"/>
        <v>0</v>
      </c>
      <c r="H60" s="34">
        <v>2842</v>
      </c>
      <c r="I60" s="34">
        <v>0</v>
      </c>
      <c r="J60" s="34">
        <v>0</v>
      </c>
      <c r="K60" s="34">
        <v>0</v>
      </c>
      <c r="L60" s="34">
        <v>0</v>
      </c>
      <c r="M60" s="34">
        <v>13431</v>
      </c>
      <c r="N60" s="34">
        <v>9131.31</v>
      </c>
      <c r="O60" s="34">
        <v>9131.31</v>
      </c>
      <c r="P60" s="34">
        <v>0</v>
      </c>
      <c r="Q60" s="34">
        <v>0</v>
      </c>
      <c r="R60" s="34">
        <v>33299.39</v>
      </c>
      <c r="S60" s="34">
        <v>24203.7</v>
      </c>
      <c r="T60" s="34">
        <v>24203.7</v>
      </c>
      <c r="U60" s="34">
        <v>0</v>
      </c>
      <c r="V60" s="34">
        <v>0</v>
      </c>
      <c r="W60" s="34"/>
      <c r="X60" s="34">
        <v>0</v>
      </c>
      <c r="Y60" s="34"/>
      <c r="Z60" s="34"/>
      <c r="AA60" s="34"/>
    </row>
    <row r="61" spans="1:27" ht="15.75" x14ac:dyDescent="0.25">
      <c r="A61" s="46">
        <v>7</v>
      </c>
      <c r="B61" s="47" t="s">
        <v>73</v>
      </c>
      <c r="C61" s="39">
        <f t="shared" si="6"/>
        <v>4688.8</v>
      </c>
      <c r="D61" s="40">
        <f t="shared" si="1"/>
        <v>2791.52</v>
      </c>
      <c r="E61" s="40">
        <f t="shared" si="2"/>
        <v>2791.52</v>
      </c>
      <c r="F61" s="40">
        <f t="shared" si="3"/>
        <v>0</v>
      </c>
      <c r="G61" s="40">
        <f t="shared" si="4"/>
        <v>0</v>
      </c>
      <c r="H61" s="34">
        <v>340.9</v>
      </c>
      <c r="I61" s="34">
        <v>0</v>
      </c>
      <c r="J61" s="34">
        <v>0</v>
      </c>
      <c r="K61" s="34">
        <v>0</v>
      </c>
      <c r="L61" s="34">
        <v>0</v>
      </c>
      <c r="M61" s="34">
        <v>1610.9</v>
      </c>
      <c r="N61" s="34">
        <v>324</v>
      </c>
      <c r="O61" s="34">
        <v>324</v>
      </c>
      <c r="P61" s="34">
        <v>0</v>
      </c>
      <c r="Q61" s="34">
        <v>0</v>
      </c>
      <c r="R61" s="34">
        <v>2737</v>
      </c>
      <c r="S61" s="34">
        <v>2467.52</v>
      </c>
      <c r="T61" s="34">
        <v>2467.52</v>
      </c>
      <c r="U61" s="34">
        <v>0</v>
      </c>
      <c r="V61" s="34">
        <v>0</v>
      </c>
      <c r="W61" s="34"/>
      <c r="X61" s="34">
        <v>0</v>
      </c>
      <c r="Y61" s="34"/>
      <c r="Z61" s="34"/>
      <c r="AA61" s="34"/>
    </row>
    <row r="62" spans="1:27" ht="15.75" x14ac:dyDescent="0.25">
      <c r="A62" s="46">
        <v>8</v>
      </c>
      <c r="B62" s="47" t="s">
        <v>75</v>
      </c>
      <c r="C62" s="39">
        <f t="shared" si="6"/>
        <v>16181.55</v>
      </c>
      <c r="D62" s="40">
        <f t="shared" si="1"/>
        <v>12524.18</v>
      </c>
      <c r="E62" s="40">
        <f t="shared" si="2"/>
        <v>11645</v>
      </c>
      <c r="F62" s="40">
        <f t="shared" si="3"/>
        <v>0</v>
      </c>
      <c r="G62" s="40">
        <f t="shared" si="4"/>
        <v>879.18</v>
      </c>
      <c r="H62" s="34">
        <v>531.79999999999995</v>
      </c>
      <c r="I62" s="34">
        <v>0</v>
      </c>
      <c r="J62" s="34">
        <v>0</v>
      </c>
      <c r="K62" s="34">
        <v>0</v>
      </c>
      <c r="L62" s="34">
        <v>0</v>
      </c>
      <c r="M62" s="34">
        <v>3114.8</v>
      </c>
      <c r="N62" s="34">
        <v>0</v>
      </c>
      <c r="O62" s="34">
        <v>0</v>
      </c>
      <c r="P62" s="34">
        <v>0</v>
      </c>
      <c r="Q62" s="34">
        <v>0</v>
      </c>
      <c r="R62" s="34">
        <v>12534.95</v>
      </c>
      <c r="S62" s="34">
        <v>12524.18</v>
      </c>
      <c r="T62" s="34">
        <v>11645</v>
      </c>
      <c r="U62" s="34">
        <v>0</v>
      </c>
      <c r="V62" s="34">
        <v>879.18</v>
      </c>
      <c r="W62" s="34"/>
      <c r="X62" s="34">
        <v>0</v>
      </c>
      <c r="Y62" s="34"/>
      <c r="Z62" s="34"/>
      <c r="AA62" s="34"/>
    </row>
    <row r="63" spans="1:27" ht="15.75" x14ac:dyDescent="0.25">
      <c r="A63" s="46">
        <v>9</v>
      </c>
      <c r="B63" s="47" t="s">
        <v>74</v>
      </c>
      <c r="C63" s="39">
        <f t="shared" si="6"/>
        <v>16079.260000000002</v>
      </c>
      <c r="D63" s="40">
        <f t="shared" si="1"/>
        <v>13821.869999999999</v>
      </c>
      <c r="E63" s="40">
        <f t="shared" si="2"/>
        <v>13821.869999999999</v>
      </c>
      <c r="F63" s="40">
        <f t="shared" si="3"/>
        <v>0</v>
      </c>
      <c r="G63" s="40">
        <f t="shared" si="4"/>
        <v>0</v>
      </c>
      <c r="H63" s="34">
        <v>1175.7</v>
      </c>
      <c r="I63" s="34">
        <v>0</v>
      </c>
      <c r="J63" s="34">
        <v>0</v>
      </c>
      <c r="K63" s="34">
        <v>0</v>
      </c>
      <c r="L63" s="34">
        <v>0</v>
      </c>
      <c r="M63" s="34">
        <v>5556.7</v>
      </c>
      <c r="N63" s="34">
        <v>4475.87</v>
      </c>
      <c r="O63" s="34">
        <v>4475.87</v>
      </c>
      <c r="P63" s="34">
        <v>0</v>
      </c>
      <c r="Q63" s="34">
        <v>0</v>
      </c>
      <c r="R63" s="34">
        <v>9346.86</v>
      </c>
      <c r="S63" s="34">
        <v>9346</v>
      </c>
      <c r="T63" s="34">
        <v>9346</v>
      </c>
      <c r="U63" s="34">
        <v>0</v>
      </c>
      <c r="V63" s="34">
        <v>0</v>
      </c>
      <c r="W63" s="34"/>
      <c r="X63" s="34">
        <v>0</v>
      </c>
      <c r="Y63" s="34"/>
      <c r="Z63" s="34"/>
      <c r="AA63" s="34"/>
    </row>
    <row r="64" spans="1:27" ht="15.75" x14ac:dyDescent="0.25">
      <c r="A64" s="46">
        <v>10</v>
      </c>
      <c r="B64" s="47" t="s">
        <v>72</v>
      </c>
      <c r="C64" s="39">
        <f t="shared" si="6"/>
        <v>519.20000000000005</v>
      </c>
      <c r="D64" s="40">
        <f t="shared" si="1"/>
        <v>473</v>
      </c>
      <c r="E64" s="40">
        <f t="shared" si="2"/>
        <v>417.2</v>
      </c>
      <c r="F64" s="40">
        <f t="shared" si="3"/>
        <v>0</v>
      </c>
      <c r="G64" s="40">
        <f t="shared" si="4"/>
        <v>55.8</v>
      </c>
      <c r="H64" s="34">
        <v>46.2</v>
      </c>
      <c r="I64" s="34">
        <v>0</v>
      </c>
      <c r="J64" s="34">
        <v>0</v>
      </c>
      <c r="K64" s="34">
        <v>0</v>
      </c>
      <c r="L64" s="34">
        <v>0</v>
      </c>
      <c r="M64" s="34">
        <v>244</v>
      </c>
      <c r="N64" s="34">
        <v>244</v>
      </c>
      <c r="O64" s="34">
        <v>218.2</v>
      </c>
      <c r="P64" s="34">
        <v>0</v>
      </c>
      <c r="Q64" s="34">
        <v>25.8</v>
      </c>
      <c r="R64" s="34">
        <v>229</v>
      </c>
      <c r="S64" s="34">
        <v>229</v>
      </c>
      <c r="T64" s="34">
        <v>199</v>
      </c>
      <c r="U64" s="34">
        <v>0</v>
      </c>
      <c r="V64" s="34">
        <v>30</v>
      </c>
      <c r="W64" s="34"/>
      <c r="X64" s="34">
        <v>0</v>
      </c>
      <c r="Y64" s="34"/>
      <c r="Z64" s="34"/>
      <c r="AA64" s="34"/>
    </row>
    <row r="65" spans="1:27" ht="15.75" x14ac:dyDescent="0.25">
      <c r="A65" s="46">
        <v>11</v>
      </c>
      <c r="B65" s="47" t="s">
        <v>71</v>
      </c>
      <c r="C65" s="39">
        <f t="shared" si="6"/>
        <v>926.8</v>
      </c>
      <c r="D65" s="40">
        <f t="shared" si="1"/>
        <v>828.2</v>
      </c>
      <c r="E65" s="40">
        <f t="shared" si="2"/>
        <v>828.2</v>
      </c>
      <c r="F65" s="40">
        <f t="shared" si="3"/>
        <v>0</v>
      </c>
      <c r="G65" s="40">
        <f t="shared" si="4"/>
        <v>0</v>
      </c>
      <c r="H65" s="34">
        <v>92.4</v>
      </c>
      <c r="I65" s="34">
        <v>0</v>
      </c>
      <c r="J65" s="34">
        <v>0</v>
      </c>
      <c r="K65" s="34">
        <v>0</v>
      </c>
      <c r="L65" s="34">
        <v>0</v>
      </c>
      <c r="M65" s="34">
        <v>436.4</v>
      </c>
      <c r="N65" s="34">
        <v>430.2</v>
      </c>
      <c r="O65" s="34">
        <v>430.2</v>
      </c>
      <c r="P65" s="34">
        <v>0</v>
      </c>
      <c r="Q65" s="34">
        <v>0</v>
      </c>
      <c r="R65" s="34">
        <v>398</v>
      </c>
      <c r="S65" s="34">
        <v>398</v>
      </c>
      <c r="T65" s="34">
        <v>398</v>
      </c>
      <c r="U65" s="34">
        <v>0</v>
      </c>
      <c r="V65" s="34">
        <v>0</v>
      </c>
      <c r="W65" s="34"/>
      <c r="X65" s="34">
        <v>0</v>
      </c>
      <c r="Y65" s="34"/>
      <c r="Z65" s="34"/>
      <c r="AA65" s="34"/>
    </row>
    <row r="66" spans="1:27" s="6" customFormat="1" ht="15.75" x14ac:dyDescent="0.25">
      <c r="A66" s="44" t="s">
        <v>1</v>
      </c>
      <c r="B66" s="45" t="s">
        <v>114</v>
      </c>
      <c r="C66" s="39">
        <f t="shared" si="6"/>
        <v>63568.480000000003</v>
      </c>
      <c r="D66" s="40">
        <f t="shared" si="1"/>
        <v>59030.382999999994</v>
      </c>
      <c r="E66" s="40">
        <f t="shared" si="2"/>
        <v>54482.654999999992</v>
      </c>
      <c r="F66" s="40">
        <f t="shared" si="3"/>
        <v>4547.7280000000001</v>
      </c>
      <c r="G66" s="40">
        <f t="shared" si="4"/>
        <v>0</v>
      </c>
      <c r="H66" s="35">
        <v>0</v>
      </c>
      <c r="I66" s="35">
        <v>0</v>
      </c>
      <c r="J66" s="35">
        <v>0</v>
      </c>
      <c r="K66" s="35">
        <v>0</v>
      </c>
      <c r="L66" s="35">
        <v>0</v>
      </c>
      <c r="M66" s="35">
        <v>0</v>
      </c>
      <c r="N66" s="35">
        <v>0</v>
      </c>
      <c r="O66" s="35">
        <v>0</v>
      </c>
      <c r="P66" s="35">
        <v>0</v>
      </c>
      <c r="Q66" s="35">
        <v>0</v>
      </c>
      <c r="R66" s="35">
        <v>0</v>
      </c>
      <c r="S66" s="35">
        <v>0</v>
      </c>
      <c r="T66" s="35">
        <v>0</v>
      </c>
      <c r="U66" s="35">
        <v>0</v>
      </c>
      <c r="V66" s="35">
        <v>0</v>
      </c>
      <c r="W66" s="31">
        <f>SUBTOTAL(9,W67:W92)</f>
        <v>63568.480000000003</v>
      </c>
      <c r="X66" s="31">
        <f t="shared" ref="X66:AA66" si="21">SUBTOTAL(9,X67:X92)</f>
        <v>59030.382999999994</v>
      </c>
      <c r="Y66" s="31">
        <f t="shared" si="21"/>
        <v>54482.654999999992</v>
      </c>
      <c r="Z66" s="31">
        <f t="shared" si="21"/>
        <v>4547.7280000000001</v>
      </c>
      <c r="AA66" s="31">
        <f t="shared" si="21"/>
        <v>0</v>
      </c>
    </row>
    <row r="67" spans="1:27" ht="15.75" x14ac:dyDescent="0.25">
      <c r="A67" s="46">
        <v>1</v>
      </c>
      <c r="B67" s="47" t="s">
        <v>115</v>
      </c>
      <c r="C67" s="39">
        <f t="shared" si="6"/>
        <v>6401</v>
      </c>
      <c r="D67" s="40">
        <f t="shared" si="1"/>
        <v>6401</v>
      </c>
      <c r="E67" s="40">
        <f t="shared" si="2"/>
        <v>5566</v>
      </c>
      <c r="F67" s="40">
        <f t="shared" si="3"/>
        <v>835</v>
      </c>
      <c r="G67" s="40">
        <f t="shared" si="4"/>
        <v>0</v>
      </c>
      <c r="H67" s="34"/>
      <c r="I67" s="34">
        <v>0</v>
      </c>
      <c r="J67" s="34"/>
      <c r="K67" s="34"/>
      <c r="L67" s="34"/>
      <c r="M67" s="34"/>
      <c r="N67" s="34">
        <v>0</v>
      </c>
      <c r="O67" s="34"/>
      <c r="P67" s="34"/>
      <c r="Q67" s="34"/>
      <c r="R67" s="34"/>
      <c r="S67" s="34">
        <v>0</v>
      </c>
      <c r="T67" s="34"/>
      <c r="U67" s="34"/>
      <c r="V67" s="34"/>
      <c r="W67" s="34">
        <v>6401</v>
      </c>
      <c r="X67" s="34">
        <v>6401</v>
      </c>
      <c r="Y67" s="34">
        <v>5566</v>
      </c>
      <c r="Z67" s="34">
        <v>835</v>
      </c>
      <c r="AA67" s="34">
        <v>0</v>
      </c>
    </row>
    <row r="68" spans="1:27" ht="15.75" x14ac:dyDescent="0.25">
      <c r="A68" s="46">
        <v>2</v>
      </c>
      <c r="B68" s="47" t="s">
        <v>116</v>
      </c>
      <c r="C68" s="39">
        <f t="shared" si="6"/>
        <v>5469</v>
      </c>
      <c r="D68" s="40">
        <f t="shared" si="1"/>
        <v>5570.3429999999998</v>
      </c>
      <c r="E68" s="40">
        <f t="shared" si="2"/>
        <v>4908.9650000000001</v>
      </c>
      <c r="F68" s="40">
        <f t="shared" si="3"/>
        <v>661.37799999999993</v>
      </c>
      <c r="G68" s="40">
        <f t="shared" si="4"/>
        <v>0</v>
      </c>
      <c r="H68" s="34"/>
      <c r="I68" s="34">
        <v>0</v>
      </c>
      <c r="J68" s="34"/>
      <c r="K68" s="34"/>
      <c r="L68" s="34"/>
      <c r="M68" s="34"/>
      <c r="N68" s="34">
        <v>0</v>
      </c>
      <c r="O68" s="34"/>
      <c r="P68" s="34"/>
      <c r="Q68" s="34"/>
      <c r="R68" s="34"/>
      <c r="S68" s="34">
        <v>0</v>
      </c>
      <c r="T68" s="34"/>
      <c r="U68" s="34"/>
      <c r="V68" s="34"/>
      <c r="W68" s="34">
        <v>5469</v>
      </c>
      <c r="X68" s="34">
        <v>5570.3429999999998</v>
      </c>
      <c r="Y68" s="34">
        <v>4908.9650000000001</v>
      </c>
      <c r="Z68" s="34">
        <v>661.37799999999993</v>
      </c>
      <c r="AA68" s="34">
        <v>0</v>
      </c>
    </row>
    <row r="69" spans="1:27" ht="15.75" x14ac:dyDescent="0.25">
      <c r="A69" s="46">
        <v>3</v>
      </c>
      <c r="B69" s="47" t="s">
        <v>117</v>
      </c>
      <c r="C69" s="39">
        <f t="shared" si="6"/>
        <v>6399</v>
      </c>
      <c r="D69" s="40">
        <f t="shared" si="1"/>
        <v>5549</v>
      </c>
      <c r="E69" s="40">
        <f t="shared" si="2"/>
        <v>5549</v>
      </c>
      <c r="F69" s="40">
        <f t="shared" si="3"/>
        <v>0</v>
      </c>
      <c r="G69" s="40">
        <f t="shared" si="4"/>
        <v>0</v>
      </c>
      <c r="H69" s="34"/>
      <c r="I69" s="34">
        <v>0</v>
      </c>
      <c r="J69" s="34"/>
      <c r="K69" s="34"/>
      <c r="L69" s="34"/>
      <c r="M69" s="34"/>
      <c r="N69" s="34">
        <v>0</v>
      </c>
      <c r="O69" s="34"/>
      <c r="P69" s="34"/>
      <c r="Q69" s="34"/>
      <c r="R69" s="34"/>
      <c r="S69" s="34">
        <v>0</v>
      </c>
      <c r="T69" s="34"/>
      <c r="U69" s="34"/>
      <c r="V69" s="34"/>
      <c r="W69" s="34">
        <v>6399</v>
      </c>
      <c r="X69" s="34">
        <v>5549</v>
      </c>
      <c r="Y69" s="34">
        <v>5549</v>
      </c>
      <c r="Z69" s="34">
        <v>0</v>
      </c>
      <c r="AA69" s="34">
        <v>0</v>
      </c>
    </row>
    <row r="70" spans="1:27" ht="15.75" x14ac:dyDescent="0.25">
      <c r="A70" s="46">
        <v>4</v>
      </c>
      <c r="B70" s="47" t="s">
        <v>118</v>
      </c>
      <c r="C70" s="39">
        <f t="shared" si="6"/>
        <v>5772</v>
      </c>
      <c r="D70" s="40">
        <f t="shared" si="1"/>
        <v>3775</v>
      </c>
      <c r="E70" s="40">
        <f t="shared" si="2"/>
        <v>3488</v>
      </c>
      <c r="F70" s="40">
        <f t="shared" si="3"/>
        <v>287</v>
      </c>
      <c r="G70" s="40">
        <f t="shared" si="4"/>
        <v>0</v>
      </c>
      <c r="H70" s="34"/>
      <c r="I70" s="34">
        <v>0</v>
      </c>
      <c r="J70" s="34"/>
      <c r="K70" s="34"/>
      <c r="L70" s="34"/>
      <c r="M70" s="34"/>
      <c r="N70" s="34">
        <v>0</v>
      </c>
      <c r="O70" s="34"/>
      <c r="P70" s="34"/>
      <c r="Q70" s="34"/>
      <c r="R70" s="34"/>
      <c r="S70" s="34">
        <v>0</v>
      </c>
      <c r="T70" s="34"/>
      <c r="U70" s="34"/>
      <c r="V70" s="34"/>
      <c r="W70" s="34">
        <v>5772</v>
      </c>
      <c r="X70" s="34">
        <v>3775</v>
      </c>
      <c r="Y70" s="34">
        <v>3488</v>
      </c>
      <c r="Z70" s="34">
        <v>287</v>
      </c>
      <c r="AA70" s="34">
        <v>0</v>
      </c>
    </row>
    <row r="71" spans="1:27" ht="15.75" x14ac:dyDescent="0.25">
      <c r="A71" s="46">
        <v>5</v>
      </c>
      <c r="B71" s="47" t="s">
        <v>119</v>
      </c>
      <c r="C71" s="39">
        <f t="shared" si="6"/>
        <v>2536</v>
      </c>
      <c r="D71" s="40">
        <f t="shared" si="1"/>
        <v>2428</v>
      </c>
      <c r="E71" s="40">
        <f t="shared" si="2"/>
        <v>2118</v>
      </c>
      <c r="F71" s="40">
        <f t="shared" si="3"/>
        <v>310</v>
      </c>
      <c r="G71" s="40">
        <f t="shared" si="4"/>
        <v>0</v>
      </c>
      <c r="H71" s="34"/>
      <c r="I71" s="34">
        <v>0</v>
      </c>
      <c r="J71" s="34"/>
      <c r="K71" s="34"/>
      <c r="L71" s="34"/>
      <c r="M71" s="34"/>
      <c r="N71" s="34">
        <v>0</v>
      </c>
      <c r="O71" s="34"/>
      <c r="P71" s="34"/>
      <c r="Q71" s="34"/>
      <c r="R71" s="34"/>
      <c r="S71" s="34">
        <v>0</v>
      </c>
      <c r="T71" s="34"/>
      <c r="U71" s="34"/>
      <c r="V71" s="34"/>
      <c r="W71" s="34">
        <v>2536</v>
      </c>
      <c r="X71" s="34">
        <v>2428</v>
      </c>
      <c r="Y71" s="34">
        <v>2118</v>
      </c>
      <c r="Z71" s="34">
        <v>310</v>
      </c>
      <c r="AA71" s="34">
        <v>0</v>
      </c>
    </row>
    <row r="72" spans="1:27" ht="15.75" x14ac:dyDescent="0.25">
      <c r="A72" s="46">
        <v>6</v>
      </c>
      <c r="B72" s="47" t="s">
        <v>120</v>
      </c>
      <c r="C72" s="39">
        <f t="shared" si="6"/>
        <v>2700</v>
      </c>
      <c r="D72" s="40">
        <f t="shared" si="1"/>
        <v>2103</v>
      </c>
      <c r="E72" s="40">
        <f t="shared" si="2"/>
        <v>1886</v>
      </c>
      <c r="F72" s="40">
        <f t="shared" si="3"/>
        <v>217</v>
      </c>
      <c r="G72" s="40">
        <f t="shared" si="4"/>
        <v>0</v>
      </c>
      <c r="H72" s="34"/>
      <c r="I72" s="34">
        <v>0</v>
      </c>
      <c r="J72" s="34"/>
      <c r="K72" s="34"/>
      <c r="L72" s="34"/>
      <c r="M72" s="34"/>
      <c r="N72" s="34">
        <v>0</v>
      </c>
      <c r="O72" s="34"/>
      <c r="P72" s="34"/>
      <c r="Q72" s="34"/>
      <c r="R72" s="34"/>
      <c r="S72" s="34">
        <v>0</v>
      </c>
      <c r="T72" s="34"/>
      <c r="U72" s="34"/>
      <c r="V72" s="34"/>
      <c r="W72" s="34">
        <v>2700</v>
      </c>
      <c r="X72" s="34">
        <v>2103</v>
      </c>
      <c r="Y72" s="34">
        <v>1886</v>
      </c>
      <c r="Z72" s="34">
        <v>217</v>
      </c>
      <c r="AA72" s="34">
        <v>0</v>
      </c>
    </row>
    <row r="73" spans="1:27" ht="15.75" x14ac:dyDescent="0.25">
      <c r="A73" s="46">
        <v>7</v>
      </c>
      <c r="B73" s="47" t="s">
        <v>121</v>
      </c>
      <c r="C73" s="39">
        <f t="shared" si="6"/>
        <v>6250</v>
      </c>
      <c r="D73" s="40">
        <f t="shared" ref="D73:D92" si="22">SUM(E73:G73)</f>
        <v>5365.8</v>
      </c>
      <c r="E73" s="40">
        <f t="shared" ref="E73:E89" si="23">J73+O73+T73+Y73</f>
        <v>4280.8</v>
      </c>
      <c r="F73" s="40">
        <f t="shared" ref="F73:F92" si="24">K73+P73+U73+Z73</f>
        <v>1085</v>
      </c>
      <c r="G73" s="40">
        <f t="shared" ref="G73:G92" si="25">L73+Q73+V73+AA73</f>
        <v>0</v>
      </c>
      <c r="H73" s="34"/>
      <c r="I73" s="34">
        <v>0</v>
      </c>
      <c r="J73" s="34"/>
      <c r="K73" s="34"/>
      <c r="L73" s="34"/>
      <c r="M73" s="34"/>
      <c r="N73" s="34">
        <v>0</v>
      </c>
      <c r="O73" s="34"/>
      <c r="P73" s="34"/>
      <c r="Q73" s="34"/>
      <c r="R73" s="34"/>
      <c r="S73" s="34">
        <v>0</v>
      </c>
      <c r="T73" s="34"/>
      <c r="U73" s="34"/>
      <c r="V73" s="34"/>
      <c r="W73" s="34">
        <v>6250</v>
      </c>
      <c r="X73" s="34">
        <v>5365.8</v>
      </c>
      <c r="Y73" s="34">
        <v>4280.8</v>
      </c>
      <c r="Z73" s="34">
        <v>1085</v>
      </c>
      <c r="AA73" s="34">
        <v>0</v>
      </c>
    </row>
    <row r="74" spans="1:27" ht="15.75" x14ac:dyDescent="0.25">
      <c r="A74" s="46">
        <v>8</v>
      </c>
      <c r="B74" s="47" t="s">
        <v>122</v>
      </c>
      <c r="C74" s="39">
        <f t="shared" ref="C74:C92" si="26">H74+R74+W74+M74</f>
        <v>8390.5</v>
      </c>
      <c r="D74" s="40">
        <f t="shared" si="22"/>
        <v>12346.14</v>
      </c>
      <c r="E74" s="40">
        <f t="shared" si="23"/>
        <v>11364.59</v>
      </c>
      <c r="F74" s="40">
        <f t="shared" si="24"/>
        <v>981.55</v>
      </c>
      <c r="G74" s="40">
        <f t="shared" si="25"/>
        <v>0</v>
      </c>
      <c r="H74" s="34"/>
      <c r="I74" s="34">
        <v>0</v>
      </c>
      <c r="J74" s="34"/>
      <c r="K74" s="34"/>
      <c r="L74" s="34"/>
      <c r="M74" s="34"/>
      <c r="N74" s="34">
        <v>0</v>
      </c>
      <c r="O74" s="34"/>
      <c r="P74" s="34"/>
      <c r="Q74" s="34"/>
      <c r="R74" s="34"/>
      <c r="S74" s="34">
        <v>0</v>
      </c>
      <c r="T74" s="34"/>
      <c r="U74" s="34"/>
      <c r="V74" s="34"/>
      <c r="W74" s="34">
        <v>8390.5</v>
      </c>
      <c r="X74" s="34">
        <v>12346.14</v>
      </c>
      <c r="Y74" s="34">
        <v>11364.59</v>
      </c>
      <c r="Z74" s="34">
        <v>981.55</v>
      </c>
      <c r="AA74" s="34">
        <v>0</v>
      </c>
    </row>
    <row r="75" spans="1:27" ht="15.75" x14ac:dyDescent="0.25">
      <c r="A75" s="46">
        <v>9</v>
      </c>
      <c r="B75" s="47" t="s">
        <v>123</v>
      </c>
      <c r="C75" s="39">
        <f t="shared" si="26"/>
        <v>230</v>
      </c>
      <c r="D75" s="40">
        <f t="shared" si="22"/>
        <v>225</v>
      </c>
      <c r="E75" s="40">
        <f t="shared" si="23"/>
        <v>200</v>
      </c>
      <c r="F75" s="40">
        <f t="shared" si="24"/>
        <v>25</v>
      </c>
      <c r="G75" s="40">
        <f t="shared" si="25"/>
        <v>0</v>
      </c>
      <c r="H75" s="34"/>
      <c r="I75" s="34">
        <v>0</v>
      </c>
      <c r="J75" s="34"/>
      <c r="K75" s="34"/>
      <c r="L75" s="34"/>
      <c r="M75" s="34"/>
      <c r="N75" s="34">
        <v>0</v>
      </c>
      <c r="O75" s="34"/>
      <c r="P75" s="34"/>
      <c r="Q75" s="34"/>
      <c r="R75" s="34"/>
      <c r="S75" s="34">
        <v>0</v>
      </c>
      <c r="T75" s="34"/>
      <c r="U75" s="34"/>
      <c r="V75" s="34"/>
      <c r="W75" s="34">
        <v>230</v>
      </c>
      <c r="X75" s="34">
        <v>225</v>
      </c>
      <c r="Y75" s="34">
        <v>200</v>
      </c>
      <c r="Z75" s="34">
        <v>25</v>
      </c>
      <c r="AA75" s="34">
        <v>0</v>
      </c>
    </row>
    <row r="76" spans="1:27" ht="15.75" x14ac:dyDescent="0.25">
      <c r="A76" s="46">
        <v>10</v>
      </c>
      <c r="B76" s="47" t="s">
        <v>124</v>
      </c>
      <c r="C76" s="39">
        <f t="shared" si="26"/>
        <v>170</v>
      </c>
      <c r="D76" s="40">
        <f t="shared" si="22"/>
        <v>170</v>
      </c>
      <c r="E76" s="40">
        <f t="shared" si="23"/>
        <v>148</v>
      </c>
      <c r="F76" s="40">
        <f t="shared" si="24"/>
        <v>22</v>
      </c>
      <c r="G76" s="40">
        <f t="shared" si="25"/>
        <v>0</v>
      </c>
      <c r="H76" s="34"/>
      <c r="I76" s="34">
        <v>0</v>
      </c>
      <c r="J76" s="34"/>
      <c r="K76" s="34"/>
      <c r="L76" s="34"/>
      <c r="M76" s="34"/>
      <c r="N76" s="34">
        <v>0</v>
      </c>
      <c r="O76" s="34"/>
      <c r="P76" s="34"/>
      <c r="Q76" s="34"/>
      <c r="R76" s="34"/>
      <c r="S76" s="34">
        <v>0</v>
      </c>
      <c r="T76" s="34"/>
      <c r="U76" s="34"/>
      <c r="V76" s="34"/>
      <c r="W76" s="34">
        <v>170</v>
      </c>
      <c r="X76" s="34">
        <v>170</v>
      </c>
      <c r="Y76" s="34">
        <v>148</v>
      </c>
      <c r="Z76" s="34">
        <v>22</v>
      </c>
      <c r="AA76" s="34">
        <v>0</v>
      </c>
    </row>
    <row r="77" spans="1:27" ht="15.75" x14ac:dyDescent="0.25">
      <c r="A77" s="46">
        <v>11</v>
      </c>
      <c r="B77" s="47" t="s">
        <v>86</v>
      </c>
      <c r="C77" s="39">
        <f t="shared" si="26"/>
        <v>3100</v>
      </c>
      <c r="D77" s="40">
        <f t="shared" si="22"/>
        <v>2970</v>
      </c>
      <c r="E77" s="40">
        <f t="shared" si="23"/>
        <v>2970</v>
      </c>
      <c r="F77" s="40">
        <f t="shared" si="24"/>
        <v>0</v>
      </c>
      <c r="G77" s="40">
        <f t="shared" si="25"/>
        <v>0</v>
      </c>
      <c r="H77" s="34"/>
      <c r="I77" s="34">
        <v>0</v>
      </c>
      <c r="J77" s="34"/>
      <c r="K77" s="34"/>
      <c r="L77" s="34"/>
      <c r="M77" s="34"/>
      <c r="N77" s="34">
        <v>0</v>
      </c>
      <c r="O77" s="34"/>
      <c r="P77" s="34"/>
      <c r="Q77" s="34"/>
      <c r="R77" s="34"/>
      <c r="S77" s="34">
        <v>0</v>
      </c>
      <c r="T77" s="34"/>
      <c r="U77" s="34"/>
      <c r="V77" s="34"/>
      <c r="W77" s="34">
        <v>3100</v>
      </c>
      <c r="X77" s="34">
        <v>2970</v>
      </c>
      <c r="Y77" s="34">
        <v>2970</v>
      </c>
      <c r="Z77" s="34">
        <v>0</v>
      </c>
      <c r="AA77" s="34">
        <v>0</v>
      </c>
    </row>
    <row r="78" spans="1:27" ht="15.75" x14ac:dyDescent="0.25">
      <c r="A78" s="46">
        <v>12</v>
      </c>
      <c r="B78" s="47" t="s">
        <v>88</v>
      </c>
      <c r="C78" s="39">
        <f t="shared" si="26"/>
        <v>2910.62</v>
      </c>
      <c r="D78" s="40">
        <f t="shared" si="22"/>
        <v>2851.2</v>
      </c>
      <c r="E78" s="40">
        <f t="shared" si="23"/>
        <v>2851.2</v>
      </c>
      <c r="F78" s="40">
        <f t="shared" si="24"/>
        <v>0</v>
      </c>
      <c r="G78" s="40">
        <f t="shared" si="25"/>
        <v>0</v>
      </c>
      <c r="H78" s="34"/>
      <c r="I78" s="34">
        <v>0</v>
      </c>
      <c r="J78" s="34"/>
      <c r="K78" s="34"/>
      <c r="L78" s="34"/>
      <c r="M78" s="34"/>
      <c r="N78" s="34">
        <v>0</v>
      </c>
      <c r="O78" s="34"/>
      <c r="P78" s="34"/>
      <c r="Q78" s="34"/>
      <c r="R78" s="34"/>
      <c r="S78" s="34">
        <v>0</v>
      </c>
      <c r="T78" s="34"/>
      <c r="U78" s="34"/>
      <c r="V78" s="34"/>
      <c r="W78" s="34">
        <v>2910.62</v>
      </c>
      <c r="X78" s="34">
        <v>2851.2</v>
      </c>
      <c r="Y78" s="34">
        <v>2851.2</v>
      </c>
      <c r="Z78" s="34">
        <v>0</v>
      </c>
      <c r="AA78" s="34">
        <v>0</v>
      </c>
    </row>
    <row r="79" spans="1:27" ht="15.75" x14ac:dyDescent="0.25">
      <c r="A79" s="46">
        <v>13</v>
      </c>
      <c r="B79" s="47" t="s">
        <v>125</v>
      </c>
      <c r="C79" s="39">
        <f t="shared" si="26"/>
        <v>4000</v>
      </c>
      <c r="D79" s="40">
        <f t="shared" si="22"/>
        <v>3969.4</v>
      </c>
      <c r="E79" s="40">
        <f t="shared" si="23"/>
        <v>3969.4</v>
      </c>
      <c r="F79" s="40">
        <f t="shared" si="24"/>
        <v>0</v>
      </c>
      <c r="G79" s="40">
        <f t="shared" si="25"/>
        <v>0</v>
      </c>
      <c r="H79" s="34"/>
      <c r="I79" s="34">
        <v>0</v>
      </c>
      <c r="J79" s="34"/>
      <c r="K79" s="34"/>
      <c r="L79" s="34"/>
      <c r="M79" s="34"/>
      <c r="N79" s="34">
        <v>0</v>
      </c>
      <c r="O79" s="34"/>
      <c r="P79" s="34"/>
      <c r="Q79" s="34"/>
      <c r="R79" s="34"/>
      <c r="S79" s="34">
        <v>0</v>
      </c>
      <c r="T79" s="34"/>
      <c r="U79" s="34"/>
      <c r="V79" s="34"/>
      <c r="W79" s="34">
        <v>4000</v>
      </c>
      <c r="X79" s="34">
        <v>3969.4</v>
      </c>
      <c r="Y79" s="34">
        <v>3969.4</v>
      </c>
      <c r="Z79" s="34">
        <v>0</v>
      </c>
      <c r="AA79" s="34">
        <v>0</v>
      </c>
    </row>
    <row r="80" spans="1:27" ht="15.75" x14ac:dyDescent="0.25">
      <c r="A80" s="46">
        <v>14</v>
      </c>
      <c r="B80" s="47" t="s">
        <v>100</v>
      </c>
      <c r="C80" s="39">
        <f t="shared" si="26"/>
        <v>1198</v>
      </c>
      <c r="D80" s="40">
        <f t="shared" si="22"/>
        <v>0</v>
      </c>
      <c r="E80" s="40">
        <f t="shared" si="23"/>
        <v>0</v>
      </c>
      <c r="F80" s="40">
        <f t="shared" si="24"/>
        <v>0</v>
      </c>
      <c r="G80" s="40">
        <f t="shared" si="25"/>
        <v>0</v>
      </c>
      <c r="H80" s="34"/>
      <c r="I80" s="34">
        <v>0</v>
      </c>
      <c r="J80" s="34"/>
      <c r="K80" s="34"/>
      <c r="L80" s="34"/>
      <c r="M80" s="34"/>
      <c r="N80" s="34">
        <v>0</v>
      </c>
      <c r="O80" s="34"/>
      <c r="P80" s="34"/>
      <c r="Q80" s="34"/>
      <c r="R80" s="34"/>
      <c r="S80" s="34">
        <v>0</v>
      </c>
      <c r="T80" s="34"/>
      <c r="U80" s="34"/>
      <c r="V80" s="34"/>
      <c r="W80" s="34">
        <v>1198</v>
      </c>
      <c r="X80" s="34">
        <v>0</v>
      </c>
      <c r="Y80" s="34">
        <v>0</v>
      </c>
      <c r="Z80" s="34">
        <v>0</v>
      </c>
      <c r="AA80" s="34">
        <v>0</v>
      </c>
    </row>
    <row r="81" spans="1:27" ht="15.75" x14ac:dyDescent="0.25">
      <c r="A81" s="46">
        <v>15</v>
      </c>
      <c r="B81" s="47" t="s">
        <v>126</v>
      </c>
      <c r="C81" s="39">
        <f t="shared" si="26"/>
        <v>2183</v>
      </c>
      <c r="D81" s="40">
        <f t="shared" si="22"/>
        <v>2169.1999999999998</v>
      </c>
      <c r="E81" s="40">
        <f t="shared" si="23"/>
        <v>2069</v>
      </c>
      <c r="F81" s="40">
        <f t="shared" si="24"/>
        <v>100.2</v>
      </c>
      <c r="G81" s="40">
        <f t="shared" si="25"/>
        <v>0</v>
      </c>
      <c r="H81" s="34"/>
      <c r="I81" s="34">
        <v>0</v>
      </c>
      <c r="J81" s="34"/>
      <c r="K81" s="34"/>
      <c r="L81" s="34"/>
      <c r="M81" s="34"/>
      <c r="N81" s="34">
        <v>0</v>
      </c>
      <c r="O81" s="34"/>
      <c r="P81" s="34"/>
      <c r="Q81" s="34"/>
      <c r="R81" s="34"/>
      <c r="S81" s="34">
        <v>0</v>
      </c>
      <c r="T81" s="34"/>
      <c r="U81" s="34"/>
      <c r="V81" s="34"/>
      <c r="W81" s="34">
        <v>2183</v>
      </c>
      <c r="X81" s="34">
        <v>2169.1999999999998</v>
      </c>
      <c r="Y81" s="34">
        <v>2069</v>
      </c>
      <c r="Z81" s="34">
        <v>100.2</v>
      </c>
      <c r="AA81" s="34">
        <v>0</v>
      </c>
    </row>
    <row r="82" spans="1:27" ht="15.75" x14ac:dyDescent="0.25">
      <c r="A82" s="46">
        <v>16</v>
      </c>
      <c r="B82" s="47" t="s">
        <v>93</v>
      </c>
      <c r="C82" s="39">
        <f t="shared" si="26"/>
        <v>162</v>
      </c>
      <c r="D82" s="40">
        <f t="shared" si="22"/>
        <v>162</v>
      </c>
      <c r="E82" s="40">
        <f t="shared" si="23"/>
        <v>162</v>
      </c>
      <c r="F82" s="40">
        <f t="shared" si="24"/>
        <v>0</v>
      </c>
      <c r="G82" s="40">
        <f t="shared" si="25"/>
        <v>0</v>
      </c>
      <c r="H82" s="34"/>
      <c r="I82" s="34">
        <v>0</v>
      </c>
      <c r="J82" s="34"/>
      <c r="K82" s="34"/>
      <c r="L82" s="34"/>
      <c r="M82" s="34"/>
      <c r="N82" s="34">
        <v>0</v>
      </c>
      <c r="O82" s="34"/>
      <c r="P82" s="34"/>
      <c r="Q82" s="34"/>
      <c r="R82" s="34"/>
      <c r="S82" s="34">
        <v>0</v>
      </c>
      <c r="T82" s="34"/>
      <c r="U82" s="34"/>
      <c r="V82" s="34"/>
      <c r="W82" s="34">
        <v>162</v>
      </c>
      <c r="X82" s="34">
        <v>162</v>
      </c>
      <c r="Y82" s="34">
        <v>162</v>
      </c>
      <c r="Z82" s="34">
        <v>0</v>
      </c>
      <c r="AA82" s="34">
        <v>0</v>
      </c>
    </row>
    <row r="83" spans="1:27" ht="15.75" x14ac:dyDescent="0.25">
      <c r="A83" s="46">
        <v>17</v>
      </c>
      <c r="B83" s="47" t="s">
        <v>127</v>
      </c>
      <c r="C83" s="39">
        <f t="shared" si="26"/>
        <v>1943</v>
      </c>
      <c r="D83" s="40">
        <f t="shared" si="22"/>
        <v>0</v>
      </c>
      <c r="E83" s="40">
        <f t="shared" si="23"/>
        <v>0</v>
      </c>
      <c r="F83" s="40">
        <f t="shared" si="24"/>
        <v>0</v>
      </c>
      <c r="G83" s="40">
        <f t="shared" si="25"/>
        <v>0</v>
      </c>
      <c r="H83" s="34"/>
      <c r="I83" s="34">
        <v>0</v>
      </c>
      <c r="J83" s="34"/>
      <c r="K83" s="34"/>
      <c r="L83" s="34"/>
      <c r="M83" s="34"/>
      <c r="N83" s="34">
        <v>0</v>
      </c>
      <c r="O83" s="34"/>
      <c r="P83" s="34"/>
      <c r="Q83" s="34"/>
      <c r="R83" s="34"/>
      <c r="S83" s="34">
        <v>0</v>
      </c>
      <c r="T83" s="34"/>
      <c r="U83" s="34"/>
      <c r="V83" s="34"/>
      <c r="W83" s="34">
        <v>1943</v>
      </c>
      <c r="X83" s="34">
        <v>0</v>
      </c>
      <c r="Y83" s="34">
        <v>0</v>
      </c>
      <c r="Z83" s="34">
        <v>0</v>
      </c>
      <c r="AA83" s="34">
        <v>0</v>
      </c>
    </row>
    <row r="84" spans="1:27" ht="15.75" x14ac:dyDescent="0.25">
      <c r="A84" s="46">
        <v>18</v>
      </c>
      <c r="B84" s="47" t="s">
        <v>95</v>
      </c>
      <c r="C84" s="39">
        <f t="shared" si="26"/>
        <v>1265</v>
      </c>
      <c r="D84" s="40">
        <f t="shared" si="22"/>
        <v>1265</v>
      </c>
      <c r="E84" s="40">
        <f t="shared" si="23"/>
        <v>1265</v>
      </c>
      <c r="F84" s="40">
        <f t="shared" si="24"/>
        <v>0</v>
      </c>
      <c r="G84" s="40">
        <f t="shared" si="25"/>
        <v>0</v>
      </c>
      <c r="H84" s="34"/>
      <c r="I84" s="34">
        <v>0</v>
      </c>
      <c r="J84" s="34"/>
      <c r="K84" s="34"/>
      <c r="L84" s="34"/>
      <c r="M84" s="34"/>
      <c r="N84" s="34">
        <v>0</v>
      </c>
      <c r="O84" s="34"/>
      <c r="P84" s="34"/>
      <c r="Q84" s="34"/>
      <c r="R84" s="34"/>
      <c r="S84" s="34">
        <v>0</v>
      </c>
      <c r="T84" s="34"/>
      <c r="U84" s="34"/>
      <c r="V84" s="34"/>
      <c r="W84" s="34">
        <v>1265</v>
      </c>
      <c r="X84" s="34">
        <v>1265</v>
      </c>
      <c r="Y84" s="34">
        <v>1265</v>
      </c>
      <c r="Z84" s="34">
        <v>0</v>
      </c>
      <c r="AA84" s="34">
        <v>0</v>
      </c>
    </row>
    <row r="85" spans="1:27" ht="15.75" x14ac:dyDescent="0.25">
      <c r="A85" s="46">
        <v>19</v>
      </c>
      <c r="B85" s="47" t="s">
        <v>128</v>
      </c>
      <c r="C85" s="39">
        <f t="shared" si="26"/>
        <v>924</v>
      </c>
      <c r="D85" s="40">
        <f t="shared" si="22"/>
        <v>924</v>
      </c>
      <c r="E85" s="40">
        <f t="shared" si="23"/>
        <v>924</v>
      </c>
      <c r="F85" s="40">
        <f t="shared" si="24"/>
        <v>0</v>
      </c>
      <c r="G85" s="40">
        <f t="shared" si="25"/>
        <v>0</v>
      </c>
      <c r="H85" s="34"/>
      <c r="I85" s="34">
        <v>0</v>
      </c>
      <c r="J85" s="34"/>
      <c r="K85" s="34"/>
      <c r="L85" s="34"/>
      <c r="M85" s="34"/>
      <c r="N85" s="34">
        <v>0</v>
      </c>
      <c r="O85" s="34"/>
      <c r="P85" s="34"/>
      <c r="Q85" s="34"/>
      <c r="R85" s="34"/>
      <c r="S85" s="34">
        <v>0</v>
      </c>
      <c r="T85" s="34"/>
      <c r="U85" s="34"/>
      <c r="V85" s="34"/>
      <c r="W85" s="34">
        <v>924</v>
      </c>
      <c r="X85" s="34">
        <v>924</v>
      </c>
      <c r="Y85" s="34">
        <v>924</v>
      </c>
      <c r="Z85" s="34">
        <v>0</v>
      </c>
      <c r="AA85" s="34">
        <v>0</v>
      </c>
    </row>
    <row r="86" spans="1:27" ht="15.75" x14ac:dyDescent="0.25">
      <c r="A86" s="46">
        <v>20</v>
      </c>
      <c r="B86" s="47" t="s">
        <v>98</v>
      </c>
      <c r="C86" s="39">
        <f t="shared" si="26"/>
        <v>330</v>
      </c>
      <c r="D86" s="40">
        <f t="shared" si="22"/>
        <v>330</v>
      </c>
      <c r="E86" s="40">
        <f t="shared" si="23"/>
        <v>330</v>
      </c>
      <c r="F86" s="40">
        <f t="shared" si="24"/>
        <v>0</v>
      </c>
      <c r="G86" s="40">
        <f t="shared" si="25"/>
        <v>0</v>
      </c>
      <c r="H86" s="34"/>
      <c r="I86" s="34">
        <v>0</v>
      </c>
      <c r="J86" s="34"/>
      <c r="K86" s="34"/>
      <c r="L86" s="34"/>
      <c r="M86" s="34"/>
      <c r="N86" s="34">
        <v>0</v>
      </c>
      <c r="O86" s="34"/>
      <c r="P86" s="34"/>
      <c r="Q86" s="34"/>
      <c r="R86" s="34"/>
      <c r="S86" s="34">
        <v>0</v>
      </c>
      <c r="T86" s="34"/>
      <c r="U86" s="34"/>
      <c r="V86" s="34"/>
      <c r="W86" s="34">
        <v>330</v>
      </c>
      <c r="X86" s="34">
        <v>330</v>
      </c>
      <c r="Y86" s="34">
        <v>330</v>
      </c>
      <c r="Z86" s="34">
        <v>0</v>
      </c>
      <c r="AA86" s="34">
        <v>0</v>
      </c>
    </row>
    <row r="87" spans="1:27" ht="15.75" x14ac:dyDescent="0.25">
      <c r="A87" s="46">
        <v>21</v>
      </c>
      <c r="B87" s="47" t="s">
        <v>97</v>
      </c>
      <c r="C87" s="39">
        <f t="shared" si="26"/>
        <v>345</v>
      </c>
      <c r="D87" s="40">
        <f t="shared" si="22"/>
        <v>345</v>
      </c>
      <c r="E87" s="40">
        <f t="shared" si="23"/>
        <v>345</v>
      </c>
      <c r="F87" s="40">
        <f t="shared" si="24"/>
        <v>0</v>
      </c>
      <c r="G87" s="40">
        <f t="shared" si="25"/>
        <v>0</v>
      </c>
      <c r="H87" s="34"/>
      <c r="I87" s="34">
        <v>0</v>
      </c>
      <c r="J87" s="34"/>
      <c r="K87" s="34"/>
      <c r="L87" s="34"/>
      <c r="M87" s="34"/>
      <c r="N87" s="34">
        <v>0</v>
      </c>
      <c r="O87" s="34"/>
      <c r="P87" s="34"/>
      <c r="Q87" s="34"/>
      <c r="R87" s="34"/>
      <c r="S87" s="34">
        <v>0</v>
      </c>
      <c r="T87" s="34"/>
      <c r="U87" s="34"/>
      <c r="V87" s="34"/>
      <c r="W87" s="34">
        <v>345</v>
      </c>
      <c r="X87" s="34">
        <v>345</v>
      </c>
      <c r="Y87" s="34">
        <v>345</v>
      </c>
      <c r="Z87" s="34">
        <v>0</v>
      </c>
      <c r="AA87" s="34">
        <v>0</v>
      </c>
    </row>
    <row r="88" spans="1:27" ht="15.75" x14ac:dyDescent="0.25">
      <c r="A88" s="46">
        <v>22</v>
      </c>
      <c r="B88" s="47" t="s">
        <v>129</v>
      </c>
      <c r="C88" s="39">
        <f t="shared" si="26"/>
        <v>108.5</v>
      </c>
      <c r="D88" s="40">
        <f t="shared" si="22"/>
        <v>0</v>
      </c>
      <c r="E88" s="40">
        <f t="shared" si="23"/>
        <v>0</v>
      </c>
      <c r="F88" s="40">
        <f t="shared" si="24"/>
        <v>0</v>
      </c>
      <c r="G88" s="40">
        <f t="shared" si="25"/>
        <v>0</v>
      </c>
      <c r="H88" s="34"/>
      <c r="I88" s="34">
        <v>0</v>
      </c>
      <c r="J88" s="34"/>
      <c r="K88" s="34"/>
      <c r="L88" s="34"/>
      <c r="M88" s="34"/>
      <c r="N88" s="34">
        <v>0</v>
      </c>
      <c r="O88" s="34"/>
      <c r="P88" s="34"/>
      <c r="Q88" s="34"/>
      <c r="R88" s="34"/>
      <c r="S88" s="34">
        <v>0</v>
      </c>
      <c r="T88" s="34"/>
      <c r="U88" s="34"/>
      <c r="V88" s="34"/>
      <c r="W88" s="34">
        <v>108.5</v>
      </c>
      <c r="X88" s="34">
        <v>0</v>
      </c>
      <c r="Y88" s="34">
        <v>0</v>
      </c>
      <c r="Z88" s="34">
        <v>0</v>
      </c>
      <c r="AA88" s="34">
        <v>0</v>
      </c>
    </row>
    <row r="89" spans="1:27" ht="15.75" x14ac:dyDescent="0.25">
      <c r="A89" s="46">
        <v>23</v>
      </c>
      <c r="B89" s="47" t="s">
        <v>130</v>
      </c>
      <c r="C89" s="39">
        <f t="shared" si="26"/>
        <v>157</v>
      </c>
      <c r="D89" s="40">
        <f t="shared" si="22"/>
        <v>0</v>
      </c>
      <c r="E89" s="40">
        <f t="shared" si="23"/>
        <v>0</v>
      </c>
      <c r="F89" s="40">
        <f t="shared" si="24"/>
        <v>0</v>
      </c>
      <c r="G89" s="40">
        <f t="shared" si="25"/>
        <v>0</v>
      </c>
      <c r="H89" s="34"/>
      <c r="I89" s="34">
        <v>0</v>
      </c>
      <c r="J89" s="34"/>
      <c r="K89" s="34"/>
      <c r="L89" s="34"/>
      <c r="M89" s="34"/>
      <c r="N89" s="34">
        <v>0</v>
      </c>
      <c r="O89" s="34"/>
      <c r="P89" s="34"/>
      <c r="Q89" s="34"/>
      <c r="R89" s="34"/>
      <c r="S89" s="34">
        <v>0</v>
      </c>
      <c r="T89" s="34"/>
      <c r="U89" s="34"/>
      <c r="V89" s="34"/>
      <c r="W89" s="34">
        <v>157</v>
      </c>
      <c r="X89" s="34">
        <v>0</v>
      </c>
      <c r="Y89" s="34">
        <v>0</v>
      </c>
      <c r="Z89" s="34">
        <v>0</v>
      </c>
      <c r="AA89" s="34">
        <v>0</v>
      </c>
    </row>
    <row r="90" spans="1:27" ht="15.75" x14ac:dyDescent="0.25">
      <c r="A90" s="46">
        <v>24</v>
      </c>
      <c r="B90" s="47" t="s">
        <v>131</v>
      </c>
      <c r="C90" s="39">
        <f t="shared" si="26"/>
        <v>111.30000000000001</v>
      </c>
      <c r="D90" s="40">
        <f t="shared" si="22"/>
        <v>111.30000000000001</v>
      </c>
      <c r="E90" s="40">
        <f>J90+O90+T90+Y90</f>
        <v>87.7</v>
      </c>
      <c r="F90" s="40">
        <f t="shared" si="24"/>
        <v>23.6</v>
      </c>
      <c r="G90" s="40">
        <f t="shared" si="25"/>
        <v>0</v>
      </c>
      <c r="H90" s="34"/>
      <c r="I90" s="34">
        <v>0</v>
      </c>
      <c r="J90" s="34"/>
      <c r="K90" s="34"/>
      <c r="L90" s="34"/>
      <c r="M90" s="34"/>
      <c r="N90" s="34">
        <v>0</v>
      </c>
      <c r="O90" s="34"/>
      <c r="P90" s="34"/>
      <c r="Q90" s="34"/>
      <c r="R90" s="34"/>
      <c r="S90" s="34">
        <v>0</v>
      </c>
      <c r="T90" s="34"/>
      <c r="U90" s="34"/>
      <c r="V90" s="34"/>
      <c r="W90" s="34">
        <v>111.30000000000001</v>
      </c>
      <c r="X90" s="34">
        <v>111.30000000000001</v>
      </c>
      <c r="Y90" s="34">
        <v>87.7</v>
      </c>
      <c r="Z90" s="34">
        <v>23.6</v>
      </c>
      <c r="AA90" s="34">
        <v>0</v>
      </c>
    </row>
    <row r="91" spans="1:27" ht="15.75" x14ac:dyDescent="0.25">
      <c r="A91" s="46">
        <v>25</v>
      </c>
      <c r="B91" s="47" t="s">
        <v>132</v>
      </c>
      <c r="C91" s="39">
        <f t="shared" si="26"/>
        <v>3.56</v>
      </c>
      <c r="D91" s="40">
        <f t="shared" si="22"/>
        <v>0</v>
      </c>
      <c r="E91" s="40">
        <f t="shared" ref="E91:E92" si="27">J91+O91+T91+Y91</f>
        <v>0</v>
      </c>
      <c r="F91" s="40">
        <f t="shared" si="24"/>
        <v>0</v>
      </c>
      <c r="G91" s="40">
        <f t="shared" si="25"/>
        <v>0</v>
      </c>
      <c r="H91" s="34"/>
      <c r="I91" s="34">
        <v>0</v>
      </c>
      <c r="J91" s="34"/>
      <c r="K91" s="34"/>
      <c r="L91" s="34"/>
      <c r="M91" s="34"/>
      <c r="N91" s="34">
        <v>0</v>
      </c>
      <c r="O91" s="34"/>
      <c r="P91" s="34"/>
      <c r="Q91" s="34"/>
      <c r="R91" s="34"/>
      <c r="S91" s="34">
        <v>0</v>
      </c>
      <c r="T91" s="34"/>
      <c r="U91" s="34"/>
      <c r="V91" s="34"/>
      <c r="W91" s="34">
        <v>3.56</v>
      </c>
      <c r="X91" s="34">
        <v>0</v>
      </c>
      <c r="Y91" s="34">
        <v>0</v>
      </c>
      <c r="Z91" s="34">
        <v>0</v>
      </c>
      <c r="AA91" s="34">
        <v>0</v>
      </c>
    </row>
    <row r="92" spans="1:27" ht="15.75" x14ac:dyDescent="0.25">
      <c r="A92" s="46">
        <v>26</v>
      </c>
      <c r="B92" s="47" t="s">
        <v>96</v>
      </c>
      <c r="C92" s="39">
        <f t="shared" si="26"/>
        <v>510</v>
      </c>
      <c r="D92" s="40">
        <f t="shared" si="22"/>
        <v>0</v>
      </c>
      <c r="E92" s="40">
        <f t="shared" si="27"/>
        <v>0</v>
      </c>
      <c r="F92" s="40">
        <f t="shared" si="24"/>
        <v>0</v>
      </c>
      <c r="G92" s="40">
        <f t="shared" si="25"/>
        <v>0</v>
      </c>
      <c r="H92" s="34"/>
      <c r="I92" s="34">
        <v>0</v>
      </c>
      <c r="J92" s="34"/>
      <c r="K92" s="34"/>
      <c r="L92" s="34"/>
      <c r="M92" s="34"/>
      <c r="N92" s="34">
        <v>0</v>
      </c>
      <c r="O92" s="34"/>
      <c r="P92" s="34"/>
      <c r="Q92" s="34"/>
      <c r="R92" s="34"/>
      <c r="S92" s="34">
        <v>0</v>
      </c>
      <c r="T92" s="34"/>
      <c r="U92" s="34"/>
      <c r="V92" s="34"/>
      <c r="W92" s="34">
        <v>510</v>
      </c>
      <c r="X92" s="34">
        <v>0</v>
      </c>
      <c r="Y92" s="34">
        <v>0</v>
      </c>
      <c r="Z92" s="34">
        <v>0</v>
      </c>
      <c r="AA92" s="34">
        <v>0</v>
      </c>
    </row>
  </sheetData>
  <mergeCells count="24">
    <mergeCell ref="W5:W7"/>
    <mergeCell ref="X6:X7"/>
    <mergeCell ref="I6:I7"/>
    <mergeCell ref="M5:M7"/>
    <mergeCell ref="N6:N7"/>
    <mergeCell ref="R5:R7"/>
    <mergeCell ref="S6:S7"/>
    <mergeCell ref="N5:Q5"/>
    <mergeCell ref="S5:V5"/>
    <mergeCell ref="X5:AA5"/>
    <mergeCell ref="I5:L5"/>
    <mergeCell ref="J6:L6"/>
    <mergeCell ref="O6:Q6"/>
    <mergeCell ref="T6:V6"/>
    <mergeCell ref="Y6:AA6"/>
    <mergeCell ref="A8:B8"/>
    <mergeCell ref="D6:D7"/>
    <mergeCell ref="H5:H7"/>
    <mergeCell ref="A2:B2"/>
    <mergeCell ref="A5:A7"/>
    <mergeCell ref="B5:B7"/>
    <mergeCell ref="D5:G5"/>
    <mergeCell ref="E6:G6"/>
    <mergeCell ref="C5:C7"/>
  </mergeCells>
  <printOptions horizontalCentered="1"/>
  <pageMargins left="0.45" right="0.2" top="0.75" bottom="0.75" header="0.3" footer="0.3"/>
  <pageSetup paperSize="9" scale="6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7D7E5-B1FE-4929-8C26-C67F49508CBE}">
  <dimension ref="A1:AL67"/>
  <sheetViews>
    <sheetView topLeftCell="B1" workbookViewId="0">
      <selection activeCell="A2" sqref="A2:AL2"/>
    </sheetView>
  </sheetViews>
  <sheetFormatPr defaultRowHeight="15" x14ac:dyDescent="0.25"/>
  <cols>
    <col min="1" max="1" width="4.85546875" customWidth="1"/>
    <col min="2" max="2" width="13.42578125" customWidth="1"/>
    <col min="3" max="4" width="6.7109375" customWidth="1"/>
    <col min="5" max="5" width="8.140625" customWidth="1"/>
    <col min="6" max="38" width="6.7109375" customWidth="1"/>
  </cols>
  <sheetData>
    <row r="1" spans="1:38" ht="15.75" x14ac:dyDescent="0.25">
      <c r="A1" s="105" t="s">
        <v>13</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row>
    <row r="2" spans="1:38" ht="33" customHeight="1" x14ac:dyDescent="0.25">
      <c r="A2" s="106" t="s">
        <v>162</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row>
    <row r="3" spans="1:38" ht="15.75" x14ac:dyDescent="0.25">
      <c r="A3" s="62"/>
      <c r="B3" s="62"/>
      <c r="C3" s="62"/>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107" t="s">
        <v>148</v>
      </c>
      <c r="AJ3" s="107"/>
      <c r="AK3" s="107"/>
      <c r="AL3" s="107"/>
    </row>
    <row r="4" spans="1:38" x14ac:dyDescent="0.25">
      <c r="A4" s="93" t="s">
        <v>2</v>
      </c>
      <c r="B4" s="93" t="s">
        <v>5</v>
      </c>
      <c r="C4" s="93" t="s">
        <v>149</v>
      </c>
      <c r="D4" s="93"/>
      <c r="E4" s="93"/>
      <c r="F4" s="93"/>
      <c r="G4" s="93"/>
      <c r="H4" s="93"/>
      <c r="I4" s="99" t="s">
        <v>150</v>
      </c>
      <c r="J4" s="99"/>
      <c r="K4" s="99"/>
      <c r="L4" s="99"/>
      <c r="M4" s="99"/>
      <c r="N4" s="99"/>
      <c r="O4" s="99" t="s">
        <v>151</v>
      </c>
      <c r="P4" s="99"/>
      <c r="Q4" s="99"/>
      <c r="R4" s="99"/>
      <c r="S4" s="99"/>
      <c r="T4" s="99"/>
      <c r="U4" s="99" t="s">
        <v>152</v>
      </c>
      <c r="V4" s="99"/>
      <c r="W4" s="99"/>
      <c r="X4" s="99"/>
      <c r="Y4" s="99"/>
      <c r="Z4" s="99"/>
      <c r="AA4" s="99" t="s">
        <v>153</v>
      </c>
      <c r="AB4" s="99"/>
      <c r="AC4" s="99"/>
      <c r="AD4" s="99"/>
      <c r="AE4" s="99"/>
      <c r="AF4" s="99"/>
      <c r="AG4" s="99" t="s">
        <v>154</v>
      </c>
      <c r="AH4" s="99"/>
      <c r="AI4" s="99"/>
      <c r="AJ4" s="99"/>
      <c r="AK4" s="99"/>
      <c r="AL4" s="99"/>
    </row>
    <row r="5" spans="1:38" s="60" customFormat="1" ht="12.75" customHeight="1" x14ac:dyDescent="0.2">
      <c r="A5" s="93"/>
      <c r="B5" s="93"/>
      <c r="C5" s="93" t="s">
        <v>9</v>
      </c>
      <c r="D5" s="99" t="s">
        <v>10</v>
      </c>
      <c r="E5" s="99" t="s">
        <v>8</v>
      </c>
      <c r="F5" s="99"/>
      <c r="G5" s="99"/>
      <c r="H5" s="99"/>
      <c r="I5" s="99" t="s">
        <v>9</v>
      </c>
      <c r="J5" s="99" t="s">
        <v>10</v>
      </c>
      <c r="K5" s="99" t="s">
        <v>8</v>
      </c>
      <c r="L5" s="99"/>
      <c r="M5" s="99"/>
      <c r="N5" s="99"/>
      <c r="O5" s="99" t="s">
        <v>9</v>
      </c>
      <c r="P5" s="99" t="s">
        <v>10</v>
      </c>
      <c r="Q5" s="99" t="s">
        <v>8</v>
      </c>
      <c r="R5" s="99"/>
      <c r="S5" s="99"/>
      <c r="T5" s="99"/>
      <c r="U5" s="99" t="s">
        <v>9</v>
      </c>
      <c r="V5" s="99" t="s">
        <v>10</v>
      </c>
      <c r="W5" s="99" t="s">
        <v>8</v>
      </c>
      <c r="X5" s="99"/>
      <c r="Y5" s="99"/>
      <c r="Z5" s="99"/>
      <c r="AA5" s="99" t="s">
        <v>9</v>
      </c>
      <c r="AB5" s="99" t="s">
        <v>10</v>
      </c>
      <c r="AC5" s="99" t="s">
        <v>8</v>
      </c>
      <c r="AD5" s="99"/>
      <c r="AE5" s="99"/>
      <c r="AF5" s="99"/>
      <c r="AG5" s="99" t="s">
        <v>9</v>
      </c>
      <c r="AH5" s="99" t="s">
        <v>10</v>
      </c>
      <c r="AI5" s="99" t="s">
        <v>8</v>
      </c>
      <c r="AJ5" s="99"/>
      <c r="AK5" s="99"/>
      <c r="AL5" s="99"/>
    </row>
    <row r="6" spans="1:38" s="60" customFormat="1" ht="12.75" customHeight="1" x14ac:dyDescent="0.2">
      <c r="A6" s="93"/>
      <c r="B6" s="93"/>
      <c r="C6" s="93"/>
      <c r="D6" s="99"/>
      <c r="E6" s="100" t="s">
        <v>58</v>
      </c>
      <c r="F6" s="102" t="s">
        <v>52</v>
      </c>
      <c r="G6" s="103"/>
      <c r="H6" s="104"/>
      <c r="I6" s="99"/>
      <c r="J6" s="99"/>
      <c r="K6" s="100" t="s">
        <v>58</v>
      </c>
      <c r="L6" s="102" t="s">
        <v>52</v>
      </c>
      <c r="M6" s="103"/>
      <c r="N6" s="104"/>
      <c r="O6" s="99"/>
      <c r="P6" s="99"/>
      <c r="Q6" s="100" t="s">
        <v>58</v>
      </c>
      <c r="R6" s="102" t="s">
        <v>52</v>
      </c>
      <c r="S6" s="103"/>
      <c r="T6" s="104"/>
      <c r="U6" s="99"/>
      <c r="V6" s="99"/>
      <c r="W6" s="100" t="s">
        <v>58</v>
      </c>
      <c r="X6" s="102" t="s">
        <v>52</v>
      </c>
      <c r="Y6" s="103"/>
      <c r="Z6" s="104"/>
      <c r="AA6" s="99"/>
      <c r="AB6" s="99"/>
      <c r="AC6" s="100" t="s">
        <v>58</v>
      </c>
      <c r="AD6" s="102" t="s">
        <v>52</v>
      </c>
      <c r="AE6" s="103"/>
      <c r="AF6" s="104"/>
      <c r="AG6" s="99"/>
      <c r="AH6" s="99"/>
      <c r="AI6" s="100" t="s">
        <v>58</v>
      </c>
      <c r="AJ6" s="102" t="s">
        <v>52</v>
      </c>
      <c r="AK6" s="103"/>
      <c r="AL6" s="104"/>
    </row>
    <row r="7" spans="1:38" s="60" customFormat="1" ht="38.25" x14ac:dyDescent="0.2">
      <c r="A7" s="93"/>
      <c r="B7" s="93"/>
      <c r="C7" s="93"/>
      <c r="D7" s="99"/>
      <c r="E7" s="101"/>
      <c r="F7" s="64" t="s">
        <v>57</v>
      </c>
      <c r="G7" s="64" t="s">
        <v>3</v>
      </c>
      <c r="H7" s="64" t="s">
        <v>11</v>
      </c>
      <c r="I7" s="99"/>
      <c r="J7" s="99"/>
      <c r="K7" s="101"/>
      <c r="L7" s="64" t="s">
        <v>57</v>
      </c>
      <c r="M7" s="64" t="s">
        <v>3</v>
      </c>
      <c r="N7" s="64" t="s">
        <v>11</v>
      </c>
      <c r="O7" s="99"/>
      <c r="P7" s="99"/>
      <c r="Q7" s="101"/>
      <c r="R7" s="64" t="s">
        <v>57</v>
      </c>
      <c r="S7" s="64" t="s">
        <v>3</v>
      </c>
      <c r="T7" s="64" t="s">
        <v>11</v>
      </c>
      <c r="U7" s="99"/>
      <c r="V7" s="99"/>
      <c r="W7" s="101"/>
      <c r="X7" s="64" t="s">
        <v>57</v>
      </c>
      <c r="Y7" s="64" t="s">
        <v>3</v>
      </c>
      <c r="Z7" s="64" t="s">
        <v>11</v>
      </c>
      <c r="AA7" s="99"/>
      <c r="AB7" s="99"/>
      <c r="AC7" s="101"/>
      <c r="AD7" s="64" t="s">
        <v>57</v>
      </c>
      <c r="AE7" s="64" t="s">
        <v>3</v>
      </c>
      <c r="AF7" s="64" t="s">
        <v>11</v>
      </c>
      <c r="AG7" s="99"/>
      <c r="AH7" s="99"/>
      <c r="AI7" s="101"/>
      <c r="AJ7" s="64" t="s">
        <v>57</v>
      </c>
      <c r="AK7" s="64" t="s">
        <v>3</v>
      </c>
      <c r="AL7" s="64" t="s">
        <v>11</v>
      </c>
    </row>
    <row r="8" spans="1:38" s="60" customFormat="1" ht="14.1" customHeight="1" x14ac:dyDescent="0.2">
      <c r="A8" s="97" t="s">
        <v>4</v>
      </c>
      <c r="B8" s="98"/>
      <c r="C8" s="65">
        <f t="shared" ref="C8:AL8" si="0">SUBTOTAL(9,C9:C67)</f>
        <v>252</v>
      </c>
      <c r="D8" s="65">
        <f t="shared" si="0"/>
        <v>3234.7166666666662</v>
      </c>
      <c r="E8" s="65">
        <f t="shared" si="0"/>
        <v>166973</v>
      </c>
      <c r="F8" s="65">
        <f t="shared" si="0"/>
        <v>80035</v>
      </c>
      <c r="G8" s="65">
        <f t="shared" si="0"/>
        <v>77779</v>
      </c>
      <c r="H8" s="65">
        <f t="shared" si="0"/>
        <v>9159</v>
      </c>
      <c r="I8" s="65">
        <f t="shared" si="0"/>
        <v>28</v>
      </c>
      <c r="J8" s="65">
        <f t="shared" si="0"/>
        <v>539.76666666666665</v>
      </c>
      <c r="K8" s="65">
        <f t="shared" si="0"/>
        <v>28429</v>
      </c>
      <c r="L8" s="65">
        <f t="shared" si="0"/>
        <v>15450</v>
      </c>
      <c r="M8" s="65">
        <f t="shared" si="0"/>
        <v>10748</v>
      </c>
      <c r="N8" s="65">
        <f t="shared" si="0"/>
        <v>2231</v>
      </c>
      <c r="O8" s="65">
        <f t="shared" si="0"/>
        <v>46</v>
      </c>
      <c r="P8" s="65">
        <f t="shared" si="0"/>
        <v>754.43333333333328</v>
      </c>
      <c r="Q8" s="65">
        <f t="shared" si="0"/>
        <v>39704</v>
      </c>
      <c r="R8" s="65">
        <f t="shared" si="0"/>
        <v>17380</v>
      </c>
      <c r="S8" s="65">
        <f t="shared" si="0"/>
        <v>19961</v>
      </c>
      <c r="T8" s="65">
        <f t="shared" si="0"/>
        <v>2363</v>
      </c>
      <c r="U8" s="65">
        <f t="shared" si="0"/>
        <v>44</v>
      </c>
      <c r="V8" s="65">
        <f t="shared" si="0"/>
        <v>709.88333333333321</v>
      </c>
      <c r="W8" s="65">
        <f t="shared" si="0"/>
        <v>36375</v>
      </c>
      <c r="X8" s="65">
        <f t="shared" si="0"/>
        <v>16468</v>
      </c>
      <c r="Y8" s="65">
        <f t="shared" si="0"/>
        <v>18146</v>
      </c>
      <c r="Z8" s="65">
        <f t="shared" si="0"/>
        <v>1761</v>
      </c>
      <c r="AA8" s="65">
        <f t="shared" si="0"/>
        <v>38</v>
      </c>
      <c r="AB8" s="65">
        <f t="shared" si="0"/>
        <v>623.19999999999993</v>
      </c>
      <c r="AC8" s="65">
        <f t="shared" si="0"/>
        <v>31653</v>
      </c>
      <c r="AD8" s="65">
        <f t="shared" si="0"/>
        <v>15441</v>
      </c>
      <c r="AE8" s="65">
        <f t="shared" si="0"/>
        <v>14758</v>
      </c>
      <c r="AF8" s="65">
        <f t="shared" si="0"/>
        <v>1454</v>
      </c>
      <c r="AG8" s="65">
        <f t="shared" si="0"/>
        <v>36</v>
      </c>
      <c r="AH8" s="65">
        <f t="shared" si="0"/>
        <v>607.43333333333328</v>
      </c>
      <c r="AI8" s="65">
        <f t="shared" si="0"/>
        <v>30922</v>
      </c>
      <c r="AJ8" s="65">
        <f t="shared" si="0"/>
        <v>15405</v>
      </c>
      <c r="AK8" s="65">
        <f t="shared" si="0"/>
        <v>14166</v>
      </c>
      <c r="AL8" s="65">
        <f t="shared" si="0"/>
        <v>1351</v>
      </c>
    </row>
    <row r="9" spans="1:38" s="60" customFormat="1" ht="14.1" customHeight="1" x14ac:dyDescent="0.2">
      <c r="A9" s="66" t="s">
        <v>0</v>
      </c>
      <c r="B9" s="66" t="s">
        <v>136</v>
      </c>
      <c r="C9" s="66">
        <f t="shared" ref="C9:AL9" si="1">SUBTOTAL(9,C10:C51)</f>
        <v>192</v>
      </c>
      <c r="D9" s="67">
        <f t="shared" si="1"/>
        <v>1912.7166666666665</v>
      </c>
      <c r="E9" s="67">
        <f t="shared" si="1"/>
        <v>114763</v>
      </c>
      <c r="F9" s="67">
        <f t="shared" si="1"/>
        <v>33336</v>
      </c>
      <c r="G9" s="67">
        <f t="shared" si="1"/>
        <v>73687</v>
      </c>
      <c r="H9" s="67">
        <f t="shared" si="1"/>
        <v>7740</v>
      </c>
      <c r="I9" s="67">
        <f t="shared" si="1"/>
        <v>28</v>
      </c>
      <c r="J9" s="67">
        <f t="shared" si="1"/>
        <v>308.76666666666665</v>
      </c>
      <c r="K9" s="67">
        <f t="shared" si="1"/>
        <v>18526</v>
      </c>
      <c r="L9" s="67">
        <f t="shared" si="1"/>
        <v>6663</v>
      </c>
      <c r="M9" s="67">
        <f t="shared" si="1"/>
        <v>10461</v>
      </c>
      <c r="N9" s="67">
        <f t="shared" si="1"/>
        <v>1402</v>
      </c>
      <c r="O9" s="67">
        <f t="shared" si="1"/>
        <v>46</v>
      </c>
      <c r="P9" s="67">
        <f t="shared" si="1"/>
        <v>467.43333333333328</v>
      </c>
      <c r="Q9" s="67">
        <f t="shared" si="1"/>
        <v>28046</v>
      </c>
      <c r="R9" s="67">
        <f t="shared" si="1"/>
        <v>7320</v>
      </c>
      <c r="S9" s="67">
        <f t="shared" si="1"/>
        <v>18616</v>
      </c>
      <c r="T9" s="67">
        <f t="shared" si="1"/>
        <v>2110</v>
      </c>
      <c r="U9" s="67">
        <f t="shared" si="1"/>
        <v>44</v>
      </c>
      <c r="V9" s="67">
        <f t="shared" si="1"/>
        <v>428.88333333333327</v>
      </c>
      <c r="W9" s="67">
        <f t="shared" si="1"/>
        <v>25733</v>
      </c>
      <c r="X9" s="67">
        <f t="shared" si="1"/>
        <v>6852</v>
      </c>
      <c r="Y9" s="67">
        <f t="shared" si="1"/>
        <v>17247</v>
      </c>
      <c r="Z9" s="67">
        <f t="shared" si="1"/>
        <v>1634</v>
      </c>
      <c r="AA9" s="67">
        <f t="shared" si="1"/>
        <v>38</v>
      </c>
      <c r="AB9" s="67">
        <f t="shared" si="1"/>
        <v>359.19999999999993</v>
      </c>
      <c r="AC9" s="67">
        <f t="shared" si="1"/>
        <v>21552</v>
      </c>
      <c r="AD9" s="67">
        <f t="shared" si="1"/>
        <v>6327</v>
      </c>
      <c r="AE9" s="67">
        <f t="shared" si="1"/>
        <v>13889</v>
      </c>
      <c r="AF9" s="67">
        <f t="shared" si="1"/>
        <v>1336</v>
      </c>
      <c r="AG9" s="67">
        <f t="shared" si="1"/>
        <v>36</v>
      </c>
      <c r="AH9" s="67">
        <f t="shared" si="1"/>
        <v>348.43333333333328</v>
      </c>
      <c r="AI9" s="67">
        <f t="shared" si="1"/>
        <v>20906</v>
      </c>
      <c r="AJ9" s="67">
        <f t="shared" si="1"/>
        <v>6174</v>
      </c>
      <c r="AK9" s="67">
        <f t="shared" si="1"/>
        <v>13474</v>
      </c>
      <c r="AL9" s="67">
        <f t="shared" si="1"/>
        <v>1258</v>
      </c>
    </row>
    <row r="10" spans="1:38" x14ac:dyDescent="0.25">
      <c r="A10" s="56">
        <v>1</v>
      </c>
      <c r="B10" s="68" t="s">
        <v>137</v>
      </c>
      <c r="C10" s="56">
        <f>I10+O10+U10+AA10+AG10</f>
        <v>8</v>
      </c>
      <c r="D10" s="69">
        <f>J10+P10+V10+AB10+AH10</f>
        <v>63.333333333333336</v>
      </c>
      <c r="E10" s="69">
        <f>SUM(F10:H10)</f>
        <v>3800</v>
      </c>
      <c r="F10" s="69">
        <f>L10+R10+X10+AD10+AJ10</f>
        <v>2260</v>
      </c>
      <c r="G10" s="69">
        <f>M10+S10+Y10+AE10+AK10</f>
        <v>1540</v>
      </c>
      <c r="H10" s="69">
        <f>N10+T10+Z10+AF10+AL10</f>
        <v>0</v>
      </c>
      <c r="I10" s="56">
        <f>K10/1000</f>
        <v>0</v>
      </c>
      <c r="J10" s="69">
        <f t="shared" ref="J10:J51" si="2">K10/60</f>
        <v>0</v>
      </c>
      <c r="K10" s="70">
        <f>SUM(L10:N10)</f>
        <v>0</v>
      </c>
      <c r="L10" s="69"/>
      <c r="M10" s="69"/>
      <c r="N10" s="69"/>
      <c r="O10" s="56">
        <v>2</v>
      </c>
      <c r="P10" s="69">
        <f t="shared" ref="P10:P51" si="3">Q10/60</f>
        <v>16.666666666666668</v>
      </c>
      <c r="Q10" s="70">
        <f>SUM(R10:T10)</f>
        <v>1000</v>
      </c>
      <c r="R10" s="69">
        <v>400</v>
      </c>
      <c r="S10" s="69">
        <v>600</v>
      </c>
      <c r="T10" s="69"/>
      <c r="U10" s="56">
        <v>2</v>
      </c>
      <c r="V10" s="69">
        <f t="shared" ref="V10:V51" si="4">W10/60</f>
        <v>16.666666666666668</v>
      </c>
      <c r="W10" s="70">
        <f>SUM(X10:Z10)</f>
        <v>1000</v>
      </c>
      <c r="X10" s="69">
        <v>860</v>
      </c>
      <c r="Y10" s="69">
        <v>140</v>
      </c>
      <c r="Z10" s="69"/>
      <c r="AA10" s="56">
        <v>2</v>
      </c>
      <c r="AB10" s="69">
        <f t="shared" ref="AB10:AB51" si="5">AC10/60</f>
        <v>16.666666666666668</v>
      </c>
      <c r="AC10" s="70">
        <f>SUM(AD10:AF10)</f>
        <v>1000</v>
      </c>
      <c r="AD10" s="69">
        <v>600</v>
      </c>
      <c r="AE10" s="69">
        <v>400</v>
      </c>
      <c r="AF10" s="69"/>
      <c r="AG10" s="56">
        <v>2</v>
      </c>
      <c r="AH10" s="69">
        <f t="shared" ref="AH10:AH51" si="6">AI10/60</f>
        <v>13.333333333333334</v>
      </c>
      <c r="AI10" s="70">
        <f>SUM(AJ10:AL10)</f>
        <v>800</v>
      </c>
      <c r="AJ10" s="69">
        <v>400</v>
      </c>
      <c r="AK10" s="69">
        <v>400</v>
      </c>
      <c r="AL10" s="69"/>
    </row>
    <row r="11" spans="1:38" s="61" customFormat="1" x14ac:dyDescent="0.25">
      <c r="A11" s="56">
        <v>2</v>
      </c>
      <c r="B11" s="68" t="s">
        <v>138</v>
      </c>
      <c r="C11" s="56">
        <f t="shared" ref="C11:D41" si="7">I11+O11+U11+AA11+AG11</f>
        <v>4</v>
      </c>
      <c r="D11" s="69">
        <f t="shared" si="7"/>
        <v>41.666666666666671</v>
      </c>
      <c r="E11" s="69">
        <f t="shared" ref="E11:E51" si="8">SUM(F11:H11)</f>
        <v>2500</v>
      </c>
      <c r="F11" s="69">
        <f t="shared" ref="F11:H41" si="9">L11+R11+X11+AD11+AJ11</f>
        <v>0</v>
      </c>
      <c r="G11" s="69">
        <f t="shared" si="9"/>
        <v>2500</v>
      </c>
      <c r="H11" s="69">
        <f t="shared" si="9"/>
        <v>0</v>
      </c>
      <c r="I11" s="56">
        <f t="shared" ref="I11:I51" si="10">K11/1000</f>
        <v>0</v>
      </c>
      <c r="J11" s="69">
        <f t="shared" si="2"/>
        <v>0</v>
      </c>
      <c r="K11" s="70">
        <f t="shared" ref="K11:K51" si="11">SUM(L11:N11)</f>
        <v>0</v>
      </c>
      <c r="L11" s="69"/>
      <c r="M11" s="69"/>
      <c r="N11" s="69"/>
      <c r="O11" s="56">
        <v>1</v>
      </c>
      <c r="P11" s="69">
        <f t="shared" si="3"/>
        <v>9.5833333333333339</v>
      </c>
      <c r="Q11" s="70">
        <f t="shared" ref="Q11:Q51" si="12">SUM(R11:T11)</f>
        <v>575</v>
      </c>
      <c r="R11" s="69"/>
      <c r="S11" s="69">
        <v>575</v>
      </c>
      <c r="T11" s="69"/>
      <c r="U11" s="56">
        <v>1</v>
      </c>
      <c r="V11" s="69">
        <f t="shared" si="4"/>
        <v>9.5833333333333339</v>
      </c>
      <c r="W11" s="70">
        <f t="shared" ref="W11:W51" si="13">SUM(X11:Z11)</f>
        <v>575</v>
      </c>
      <c r="X11" s="69"/>
      <c r="Y11" s="69">
        <v>575</v>
      </c>
      <c r="Z11" s="69"/>
      <c r="AA11" s="56">
        <f t="shared" ref="AA11:AA41" si="14">AC11/1000</f>
        <v>0</v>
      </c>
      <c r="AB11" s="69">
        <f t="shared" si="5"/>
        <v>0</v>
      </c>
      <c r="AC11" s="70">
        <f t="shared" ref="AC11:AC51" si="15">SUM(AD11:AF11)</f>
        <v>0</v>
      </c>
      <c r="AD11" s="69"/>
      <c r="AE11" s="69"/>
      <c r="AF11" s="69"/>
      <c r="AG11" s="56">
        <v>2</v>
      </c>
      <c r="AH11" s="69">
        <f t="shared" si="6"/>
        <v>22.5</v>
      </c>
      <c r="AI11" s="70">
        <f t="shared" ref="AI11:AI51" si="16">SUM(AJ11:AL11)</f>
        <v>1350</v>
      </c>
      <c r="AJ11" s="69"/>
      <c r="AK11" s="69">
        <v>1350</v>
      </c>
      <c r="AL11" s="69"/>
    </row>
    <row r="12" spans="1:38" x14ac:dyDescent="0.25">
      <c r="A12" s="56">
        <v>3</v>
      </c>
      <c r="B12" s="68" t="s">
        <v>139</v>
      </c>
      <c r="C12" s="56">
        <f t="shared" si="7"/>
        <v>4</v>
      </c>
      <c r="D12" s="69">
        <f t="shared" si="7"/>
        <v>11.666666666666668</v>
      </c>
      <c r="E12" s="69">
        <f t="shared" si="8"/>
        <v>700</v>
      </c>
      <c r="F12" s="69">
        <f t="shared" si="9"/>
        <v>0</v>
      </c>
      <c r="G12" s="69">
        <f t="shared" si="9"/>
        <v>700</v>
      </c>
      <c r="H12" s="69">
        <f t="shared" si="9"/>
        <v>0</v>
      </c>
      <c r="I12" s="56">
        <f t="shared" si="10"/>
        <v>0</v>
      </c>
      <c r="J12" s="69">
        <f t="shared" si="2"/>
        <v>0</v>
      </c>
      <c r="K12" s="70">
        <f t="shared" si="11"/>
        <v>0</v>
      </c>
      <c r="L12" s="69"/>
      <c r="M12" s="69"/>
      <c r="N12" s="69"/>
      <c r="O12" s="56">
        <v>1</v>
      </c>
      <c r="P12" s="69">
        <f t="shared" si="3"/>
        <v>8.3333333333333339</v>
      </c>
      <c r="Q12" s="70">
        <f t="shared" si="12"/>
        <v>500</v>
      </c>
      <c r="R12" s="69"/>
      <c r="S12" s="69">
        <v>500</v>
      </c>
      <c r="T12" s="69"/>
      <c r="U12" s="56">
        <v>1</v>
      </c>
      <c r="V12" s="69">
        <f t="shared" si="4"/>
        <v>3.3333333333333335</v>
      </c>
      <c r="W12" s="70">
        <f t="shared" si="13"/>
        <v>200</v>
      </c>
      <c r="X12" s="69"/>
      <c r="Y12" s="69">
        <v>200</v>
      </c>
      <c r="Z12" s="69"/>
      <c r="AA12" s="56">
        <v>1</v>
      </c>
      <c r="AB12" s="69">
        <f t="shared" si="5"/>
        <v>0</v>
      </c>
      <c r="AC12" s="70">
        <f t="shared" si="15"/>
        <v>0</v>
      </c>
      <c r="AD12" s="69"/>
      <c r="AE12" s="69"/>
      <c r="AF12" s="69"/>
      <c r="AG12" s="56">
        <v>1</v>
      </c>
      <c r="AH12" s="69">
        <f t="shared" si="6"/>
        <v>0</v>
      </c>
      <c r="AI12" s="70">
        <f t="shared" si="16"/>
        <v>0</v>
      </c>
      <c r="AJ12" s="69"/>
      <c r="AK12" s="69"/>
      <c r="AL12" s="69"/>
    </row>
    <row r="13" spans="1:38" ht="25.5" x14ac:dyDescent="0.25">
      <c r="A13" s="56">
        <v>4</v>
      </c>
      <c r="B13" s="68" t="s">
        <v>140</v>
      </c>
      <c r="C13" s="56">
        <f t="shared" si="7"/>
        <v>5</v>
      </c>
      <c r="D13" s="69">
        <f t="shared" si="7"/>
        <v>45.350000000000009</v>
      </c>
      <c r="E13" s="69">
        <f t="shared" si="8"/>
        <v>2721</v>
      </c>
      <c r="F13" s="69">
        <f t="shared" si="9"/>
        <v>1058</v>
      </c>
      <c r="G13" s="69">
        <f t="shared" si="9"/>
        <v>1325</v>
      </c>
      <c r="H13" s="69">
        <f t="shared" si="9"/>
        <v>338</v>
      </c>
      <c r="I13" s="56">
        <v>1</v>
      </c>
      <c r="J13" s="69">
        <f t="shared" si="2"/>
        <v>6.666666666666667</v>
      </c>
      <c r="K13" s="70">
        <f t="shared" si="11"/>
        <v>400</v>
      </c>
      <c r="L13" s="69">
        <v>150</v>
      </c>
      <c r="M13" s="69">
        <v>199</v>
      </c>
      <c r="N13" s="69">
        <v>51</v>
      </c>
      <c r="O13" s="56">
        <f t="shared" ref="O13:O32" si="17">Q13/1000</f>
        <v>1</v>
      </c>
      <c r="P13" s="69">
        <f t="shared" si="3"/>
        <v>16.666666666666668</v>
      </c>
      <c r="Q13" s="70">
        <f t="shared" si="12"/>
        <v>1000</v>
      </c>
      <c r="R13" s="69">
        <v>390</v>
      </c>
      <c r="S13" s="69">
        <v>486</v>
      </c>
      <c r="T13" s="69">
        <v>124</v>
      </c>
      <c r="U13" s="56">
        <v>1</v>
      </c>
      <c r="V13" s="69">
        <f t="shared" si="4"/>
        <v>8.35</v>
      </c>
      <c r="W13" s="70">
        <f t="shared" si="13"/>
        <v>501</v>
      </c>
      <c r="X13" s="69">
        <v>197</v>
      </c>
      <c r="Y13" s="69">
        <v>242</v>
      </c>
      <c r="Z13" s="69">
        <v>62</v>
      </c>
      <c r="AA13" s="56">
        <v>1</v>
      </c>
      <c r="AB13" s="69">
        <f t="shared" si="5"/>
        <v>5.833333333333333</v>
      </c>
      <c r="AC13" s="70">
        <f t="shared" si="15"/>
        <v>350</v>
      </c>
      <c r="AD13" s="71">
        <v>137</v>
      </c>
      <c r="AE13" s="71">
        <v>170</v>
      </c>
      <c r="AF13" s="71">
        <v>43</v>
      </c>
      <c r="AG13" s="56">
        <v>1</v>
      </c>
      <c r="AH13" s="69">
        <f t="shared" si="6"/>
        <v>7.833333333333333</v>
      </c>
      <c r="AI13" s="70">
        <f t="shared" si="16"/>
        <v>470</v>
      </c>
      <c r="AJ13" s="69">
        <v>184</v>
      </c>
      <c r="AK13" s="69">
        <v>228</v>
      </c>
      <c r="AL13" s="69">
        <v>58</v>
      </c>
    </row>
    <row r="14" spans="1:38" x14ac:dyDescent="0.25">
      <c r="A14" s="56">
        <f>A13+1</f>
        <v>5</v>
      </c>
      <c r="B14" s="68" t="s">
        <v>147</v>
      </c>
      <c r="C14" s="56">
        <f t="shared" si="7"/>
        <v>3</v>
      </c>
      <c r="D14" s="69">
        <f t="shared" si="7"/>
        <v>8.3333333333333321</v>
      </c>
      <c r="E14" s="69">
        <f t="shared" si="8"/>
        <v>500</v>
      </c>
      <c r="F14" s="69">
        <f t="shared" si="9"/>
        <v>0</v>
      </c>
      <c r="G14" s="69">
        <f t="shared" si="9"/>
        <v>400</v>
      </c>
      <c r="H14" s="69">
        <f t="shared" si="9"/>
        <v>100</v>
      </c>
      <c r="I14" s="56">
        <f t="shared" si="10"/>
        <v>0</v>
      </c>
      <c r="J14" s="69">
        <f t="shared" si="2"/>
        <v>0</v>
      </c>
      <c r="K14" s="70">
        <f t="shared" si="11"/>
        <v>0</v>
      </c>
      <c r="L14" s="69"/>
      <c r="M14" s="69"/>
      <c r="N14" s="69"/>
      <c r="O14" s="56">
        <v>1</v>
      </c>
      <c r="P14" s="69">
        <f t="shared" si="3"/>
        <v>3.1666666666666665</v>
      </c>
      <c r="Q14" s="70">
        <f t="shared" si="12"/>
        <v>190</v>
      </c>
      <c r="R14" s="69"/>
      <c r="S14" s="69">
        <v>150</v>
      </c>
      <c r="T14" s="69">
        <v>40</v>
      </c>
      <c r="U14" s="56">
        <v>1</v>
      </c>
      <c r="V14" s="69">
        <f t="shared" si="4"/>
        <v>3.1666666666666665</v>
      </c>
      <c r="W14" s="70">
        <f t="shared" si="13"/>
        <v>190</v>
      </c>
      <c r="X14" s="69"/>
      <c r="Y14" s="69">
        <v>150</v>
      </c>
      <c r="Z14" s="69">
        <v>40</v>
      </c>
      <c r="AA14" s="56">
        <v>1</v>
      </c>
      <c r="AB14" s="69">
        <f t="shared" si="5"/>
        <v>2</v>
      </c>
      <c r="AC14" s="70">
        <f t="shared" si="15"/>
        <v>120</v>
      </c>
      <c r="AD14" s="69"/>
      <c r="AE14" s="69">
        <v>100</v>
      </c>
      <c r="AF14" s="69">
        <v>20</v>
      </c>
      <c r="AG14" s="56">
        <f t="shared" ref="AG14:AG41" si="18">AI14/1000</f>
        <v>0</v>
      </c>
      <c r="AH14" s="69">
        <f t="shared" si="6"/>
        <v>0</v>
      </c>
      <c r="AI14" s="70">
        <f t="shared" si="16"/>
        <v>0</v>
      </c>
      <c r="AJ14" s="69"/>
      <c r="AK14" s="69"/>
      <c r="AL14" s="69"/>
    </row>
    <row r="15" spans="1:38" ht="25.5" x14ac:dyDescent="0.25">
      <c r="A15" s="56">
        <f t="shared" ref="A15:A51" si="19">A14+1</f>
        <v>6</v>
      </c>
      <c r="B15" s="68" t="s">
        <v>143</v>
      </c>
      <c r="C15" s="56">
        <f t="shared" si="7"/>
        <v>5</v>
      </c>
      <c r="D15" s="69">
        <f t="shared" si="7"/>
        <v>83.333333333333343</v>
      </c>
      <c r="E15" s="69">
        <f t="shared" si="8"/>
        <v>5000</v>
      </c>
      <c r="F15" s="69">
        <f t="shared" si="9"/>
        <v>5000</v>
      </c>
      <c r="G15" s="69">
        <f t="shared" si="9"/>
        <v>0</v>
      </c>
      <c r="H15" s="69">
        <f t="shared" si="9"/>
        <v>0</v>
      </c>
      <c r="I15" s="56">
        <f t="shared" si="10"/>
        <v>1</v>
      </c>
      <c r="J15" s="69">
        <f t="shared" si="2"/>
        <v>16.666666666666668</v>
      </c>
      <c r="K15" s="70">
        <f t="shared" si="11"/>
        <v>1000</v>
      </c>
      <c r="L15" s="69">
        <v>1000</v>
      </c>
      <c r="M15" s="69"/>
      <c r="N15" s="69"/>
      <c r="O15" s="56">
        <f>Q15/1000</f>
        <v>1</v>
      </c>
      <c r="P15" s="69">
        <f>Q15/60</f>
        <v>16.666666666666668</v>
      </c>
      <c r="Q15" s="70">
        <f t="shared" si="12"/>
        <v>1000</v>
      </c>
      <c r="R15" s="69">
        <v>1000</v>
      </c>
      <c r="S15" s="69"/>
      <c r="T15" s="69"/>
      <c r="U15" s="56">
        <f t="shared" ref="U15" si="20">W15/1000</f>
        <v>1</v>
      </c>
      <c r="V15" s="69">
        <f t="shared" si="4"/>
        <v>16.666666666666668</v>
      </c>
      <c r="W15" s="70">
        <f t="shared" si="13"/>
        <v>1000</v>
      </c>
      <c r="X15" s="69">
        <v>1000</v>
      </c>
      <c r="Y15" s="69"/>
      <c r="Z15" s="69"/>
      <c r="AA15" s="56">
        <f t="shared" ref="AA15" si="21">AC15/1000</f>
        <v>1</v>
      </c>
      <c r="AB15" s="69">
        <f t="shared" si="5"/>
        <v>16.666666666666668</v>
      </c>
      <c r="AC15" s="70">
        <f t="shared" si="15"/>
        <v>1000</v>
      </c>
      <c r="AD15" s="69">
        <v>1000</v>
      </c>
      <c r="AE15" s="69"/>
      <c r="AF15" s="69"/>
      <c r="AG15" s="56">
        <f t="shared" si="18"/>
        <v>1</v>
      </c>
      <c r="AH15" s="69">
        <f t="shared" si="6"/>
        <v>16.666666666666668</v>
      </c>
      <c r="AI15" s="70">
        <f t="shared" si="16"/>
        <v>1000</v>
      </c>
      <c r="AJ15" s="69">
        <v>1000</v>
      </c>
      <c r="AK15" s="69"/>
      <c r="AL15" s="69"/>
    </row>
    <row r="16" spans="1:38" x14ac:dyDescent="0.25">
      <c r="A16" s="56">
        <f t="shared" si="19"/>
        <v>7</v>
      </c>
      <c r="B16" s="68" t="s">
        <v>155</v>
      </c>
      <c r="C16" s="56">
        <f t="shared" si="7"/>
        <v>4</v>
      </c>
      <c r="D16" s="69">
        <f t="shared" si="7"/>
        <v>38.333333333333336</v>
      </c>
      <c r="E16" s="69">
        <f t="shared" si="8"/>
        <v>2300</v>
      </c>
      <c r="F16" s="69">
        <f t="shared" si="9"/>
        <v>0</v>
      </c>
      <c r="G16" s="69">
        <f t="shared" si="9"/>
        <v>2300</v>
      </c>
      <c r="H16" s="69">
        <f t="shared" si="9"/>
        <v>0</v>
      </c>
      <c r="I16" s="56">
        <f t="shared" si="10"/>
        <v>0</v>
      </c>
      <c r="J16" s="69">
        <f t="shared" si="2"/>
        <v>0</v>
      </c>
      <c r="K16" s="70">
        <f t="shared" si="11"/>
        <v>0</v>
      </c>
      <c r="L16" s="69"/>
      <c r="M16" s="69"/>
      <c r="N16" s="69"/>
      <c r="O16" s="56">
        <v>1</v>
      </c>
      <c r="P16" s="69">
        <f t="shared" ref="P16:P20" si="22">Q16/60</f>
        <v>9.5833333333333339</v>
      </c>
      <c r="Q16" s="70">
        <f t="shared" si="12"/>
        <v>575</v>
      </c>
      <c r="R16" s="69"/>
      <c r="S16" s="69">
        <v>575</v>
      </c>
      <c r="T16" s="69"/>
      <c r="U16" s="56">
        <v>1</v>
      </c>
      <c r="V16" s="69">
        <f t="shared" si="4"/>
        <v>9.5833333333333339</v>
      </c>
      <c r="W16" s="70">
        <f t="shared" si="13"/>
        <v>575</v>
      </c>
      <c r="X16" s="69"/>
      <c r="Y16" s="69">
        <v>575</v>
      </c>
      <c r="Z16" s="69"/>
      <c r="AA16" s="56">
        <v>1</v>
      </c>
      <c r="AB16" s="69">
        <f t="shared" si="5"/>
        <v>9.5833333333333339</v>
      </c>
      <c r="AC16" s="70">
        <f t="shared" si="15"/>
        <v>575</v>
      </c>
      <c r="AD16" s="69"/>
      <c r="AE16" s="69">
        <v>575</v>
      </c>
      <c r="AF16" s="69"/>
      <c r="AG16" s="56">
        <v>1</v>
      </c>
      <c r="AH16" s="69">
        <f t="shared" si="6"/>
        <v>9.5833333333333339</v>
      </c>
      <c r="AI16" s="70">
        <f t="shared" si="16"/>
        <v>575</v>
      </c>
      <c r="AJ16" s="69"/>
      <c r="AK16" s="69">
        <v>575</v>
      </c>
      <c r="AL16" s="69"/>
    </row>
    <row r="17" spans="1:38" ht="25.5" x14ac:dyDescent="0.25">
      <c r="A17" s="56">
        <f t="shared" si="19"/>
        <v>8</v>
      </c>
      <c r="B17" s="68" t="s">
        <v>156</v>
      </c>
      <c r="C17" s="56">
        <f t="shared" si="7"/>
        <v>5</v>
      </c>
      <c r="D17" s="69">
        <f t="shared" si="7"/>
        <v>16.666666666666668</v>
      </c>
      <c r="E17" s="69">
        <f t="shared" si="8"/>
        <v>1000</v>
      </c>
      <c r="F17" s="69">
        <f t="shared" si="9"/>
        <v>0</v>
      </c>
      <c r="G17" s="69">
        <f t="shared" si="9"/>
        <v>1000</v>
      </c>
      <c r="H17" s="69">
        <f t="shared" si="9"/>
        <v>0</v>
      </c>
      <c r="I17" s="56">
        <v>1</v>
      </c>
      <c r="J17" s="69">
        <f t="shared" si="2"/>
        <v>3.3333333333333335</v>
      </c>
      <c r="K17" s="70">
        <f t="shared" si="11"/>
        <v>200</v>
      </c>
      <c r="L17" s="69"/>
      <c r="M17" s="69">
        <v>200</v>
      </c>
      <c r="N17" s="69"/>
      <c r="O17" s="56">
        <v>1</v>
      </c>
      <c r="P17" s="69">
        <f t="shared" si="22"/>
        <v>3.3333333333333335</v>
      </c>
      <c r="Q17" s="70">
        <f t="shared" si="12"/>
        <v>200</v>
      </c>
      <c r="R17" s="69"/>
      <c r="S17" s="69">
        <v>200</v>
      </c>
      <c r="T17" s="69"/>
      <c r="U17" s="56">
        <v>1</v>
      </c>
      <c r="V17" s="69">
        <f t="shared" si="4"/>
        <v>3.3333333333333335</v>
      </c>
      <c r="W17" s="70">
        <f t="shared" si="13"/>
        <v>200</v>
      </c>
      <c r="X17" s="69"/>
      <c r="Y17" s="69">
        <v>200</v>
      </c>
      <c r="Z17" s="69"/>
      <c r="AA17" s="56">
        <v>1</v>
      </c>
      <c r="AB17" s="69">
        <f t="shared" si="5"/>
        <v>3.3333333333333335</v>
      </c>
      <c r="AC17" s="70">
        <f t="shared" si="15"/>
        <v>200</v>
      </c>
      <c r="AD17" s="69"/>
      <c r="AE17" s="69">
        <v>200</v>
      </c>
      <c r="AF17" s="69"/>
      <c r="AG17" s="56">
        <v>1</v>
      </c>
      <c r="AH17" s="69">
        <f t="shared" si="6"/>
        <v>3.3333333333333335</v>
      </c>
      <c r="AI17" s="70">
        <f t="shared" si="16"/>
        <v>200</v>
      </c>
      <c r="AJ17" s="69"/>
      <c r="AK17" s="69">
        <v>200</v>
      </c>
      <c r="AL17" s="69"/>
    </row>
    <row r="18" spans="1:38" ht="25.5" x14ac:dyDescent="0.25">
      <c r="A18" s="56">
        <f t="shared" si="19"/>
        <v>9</v>
      </c>
      <c r="B18" s="68" t="s">
        <v>115</v>
      </c>
      <c r="C18" s="56">
        <f t="shared" si="7"/>
        <v>8</v>
      </c>
      <c r="D18" s="69">
        <f t="shared" si="7"/>
        <v>83.333333333333329</v>
      </c>
      <c r="E18" s="69">
        <f t="shared" si="8"/>
        <v>5000</v>
      </c>
      <c r="F18" s="69">
        <f t="shared" si="9"/>
        <v>2205</v>
      </c>
      <c r="G18" s="69">
        <f t="shared" si="9"/>
        <v>2610</v>
      </c>
      <c r="H18" s="69">
        <f t="shared" si="9"/>
        <v>185</v>
      </c>
      <c r="I18" s="56">
        <f t="shared" si="10"/>
        <v>0</v>
      </c>
      <c r="J18" s="69">
        <f t="shared" si="2"/>
        <v>0</v>
      </c>
      <c r="K18" s="70">
        <f t="shared" si="11"/>
        <v>0</v>
      </c>
      <c r="L18" s="69"/>
      <c r="M18" s="69"/>
      <c r="N18" s="69"/>
      <c r="O18" s="56">
        <v>2</v>
      </c>
      <c r="P18" s="69">
        <f t="shared" si="22"/>
        <v>20.833333333333332</v>
      </c>
      <c r="Q18" s="70">
        <f t="shared" si="12"/>
        <v>1250</v>
      </c>
      <c r="R18" s="69">
        <v>552</v>
      </c>
      <c r="S18" s="69">
        <v>651</v>
      </c>
      <c r="T18" s="69">
        <v>47</v>
      </c>
      <c r="U18" s="56">
        <v>2</v>
      </c>
      <c r="V18" s="69">
        <f t="shared" si="4"/>
        <v>20.833333333333332</v>
      </c>
      <c r="W18" s="70">
        <f t="shared" si="13"/>
        <v>1250</v>
      </c>
      <c r="X18" s="69">
        <v>551</v>
      </c>
      <c r="Y18" s="69">
        <v>653</v>
      </c>
      <c r="Z18" s="69">
        <v>46</v>
      </c>
      <c r="AA18" s="56">
        <v>2</v>
      </c>
      <c r="AB18" s="69">
        <f t="shared" si="5"/>
        <v>20.833333333333332</v>
      </c>
      <c r="AC18" s="70">
        <f t="shared" si="15"/>
        <v>1250</v>
      </c>
      <c r="AD18" s="69">
        <v>551</v>
      </c>
      <c r="AE18" s="69">
        <v>653</v>
      </c>
      <c r="AF18" s="69">
        <v>46</v>
      </c>
      <c r="AG18" s="56">
        <v>2</v>
      </c>
      <c r="AH18" s="69">
        <f t="shared" si="6"/>
        <v>20.833333333333332</v>
      </c>
      <c r="AI18" s="70">
        <f t="shared" si="16"/>
        <v>1250</v>
      </c>
      <c r="AJ18" s="69">
        <v>551</v>
      </c>
      <c r="AK18" s="69">
        <v>653</v>
      </c>
      <c r="AL18" s="69">
        <v>46</v>
      </c>
    </row>
    <row r="19" spans="1:38" ht="25.5" x14ac:dyDescent="0.25">
      <c r="A19" s="56">
        <f t="shared" si="19"/>
        <v>10</v>
      </c>
      <c r="B19" s="68" t="s">
        <v>119</v>
      </c>
      <c r="C19" s="56">
        <f t="shared" si="7"/>
        <v>5</v>
      </c>
      <c r="D19" s="69">
        <f t="shared" si="7"/>
        <v>41.666666666666671</v>
      </c>
      <c r="E19" s="69">
        <f t="shared" si="8"/>
        <v>2500</v>
      </c>
      <c r="F19" s="69">
        <f t="shared" si="9"/>
        <v>0</v>
      </c>
      <c r="G19" s="69">
        <f t="shared" si="9"/>
        <v>2500</v>
      </c>
      <c r="H19" s="69">
        <f t="shared" si="9"/>
        <v>0</v>
      </c>
      <c r="I19" s="56">
        <v>1</v>
      </c>
      <c r="J19" s="69">
        <f t="shared" si="2"/>
        <v>8.3333333333333339</v>
      </c>
      <c r="K19" s="70">
        <f t="shared" si="11"/>
        <v>500</v>
      </c>
      <c r="L19" s="69"/>
      <c r="M19" s="69">
        <v>500</v>
      </c>
      <c r="N19" s="69"/>
      <c r="O19" s="56">
        <v>1</v>
      </c>
      <c r="P19" s="69">
        <f t="shared" si="22"/>
        <v>8.3333333333333339</v>
      </c>
      <c r="Q19" s="70">
        <f t="shared" si="12"/>
        <v>500</v>
      </c>
      <c r="R19" s="69"/>
      <c r="S19" s="69">
        <v>500</v>
      </c>
      <c r="T19" s="69"/>
      <c r="U19" s="56">
        <v>1</v>
      </c>
      <c r="V19" s="69">
        <f t="shared" si="4"/>
        <v>8.3333333333333339</v>
      </c>
      <c r="W19" s="70">
        <f t="shared" si="13"/>
        <v>500</v>
      </c>
      <c r="X19" s="69"/>
      <c r="Y19" s="69">
        <v>500</v>
      </c>
      <c r="Z19" s="69"/>
      <c r="AA19" s="56">
        <v>1</v>
      </c>
      <c r="AB19" s="69">
        <f t="shared" si="5"/>
        <v>8.3333333333333339</v>
      </c>
      <c r="AC19" s="70">
        <f t="shared" si="15"/>
        <v>500</v>
      </c>
      <c r="AD19" s="69"/>
      <c r="AE19" s="69">
        <v>500</v>
      </c>
      <c r="AF19" s="69"/>
      <c r="AG19" s="56">
        <v>1</v>
      </c>
      <c r="AH19" s="69">
        <f t="shared" si="6"/>
        <v>8.3333333333333339</v>
      </c>
      <c r="AI19" s="70">
        <f t="shared" si="16"/>
        <v>500</v>
      </c>
      <c r="AJ19" s="69"/>
      <c r="AK19" s="69">
        <v>500</v>
      </c>
      <c r="AL19" s="69"/>
    </row>
    <row r="20" spans="1:38" ht="25.5" x14ac:dyDescent="0.25">
      <c r="A20" s="56">
        <f t="shared" si="19"/>
        <v>11</v>
      </c>
      <c r="B20" s="68" t="s">
        <v>116</v>
      </c>
      <c r="C20" s="56">
        <f t="shared" si="7"/>
        <v>4</v>
      </c>
      <c r="D20" s="69">
        <f t="shared" si="7"/>
        <v>26.666666666666668</v>
      </c>
      <c r="E20" s="69">
        <f t="shared" si="8"/>
        <v>1600</v>
      </c>
      <c r="F20" s="69">
        <f t="shared" si="9"/>
        <v>0</v>
      </c>
      <c r="G20" s="69">
        <f t="shared" si="9"/>
        <v>1600</v>
      </c>
      <c r="H20" s="69">
        <f t="shared" si="9"/>
        <v>0</v>
      </c>
      <c r="I20" s="56">
        <f t="shared" si="10"/>
        <v>0</v>
      </c>
      <c r="J20" s="69">
        <f t="shared" si="2"/>
        <v>0</v>
      </c>
      <c r="K20" s="70">
        <f t="shared" si="11"/>
        <v>0</v>
      </c>
      <c r="L20" s="69"/>
      <c r="M20" s="69"/>
      <c r="N20" s="69"/>
      <c r="O20" s="56">
        <v>1</v>
      </c>
      <c r="P20" s="69">
        <f t="shared" si="22"/>
        <v>6.666666666666667</v>
      </c>
      <c r="Q20" s="70">
        <f t="shared" si="12"/>
        <v>400</v>
      </c>
      <c r="R20" s="69"/>
      <c r="S20" s="69">
        <v>400</v>
      </c>
      <c r="T20" s="69"/>
      <c r="U20" s="56">
        <v>1</v>
      </c>
      <c r="V20" s="69">
        <f t="shared" si="4"/>
        <v>6.666666666666667</v>
      </c>
      <c r="W20" s="70">
        <f t="shared" si="13"/>
        <v>400</v>
      </c>
      <c r="X20" s="69"/>
      <c r="Y20" s="69">
        <v>400</v>
      </c>
      <c r="Z20" s="69"/>
      <c r="AA20" s="56">
        <v>1</v>
      </c>
      <c r="AB20" s="69">
        <f t="shared" si="5"/>
        <v>6.666666666666667</v>
      </c>
      <c r="AC20" s="70">
        <f t="shared" si="15"/>
        <v>400</v>
      </c>
      <c r="AD20" s="69"/>
      <c r="AE20" s="69">
        <v>400</v>
      </c>
      <c r="AF20" s="69"/>
      <c r="AG20" s="56">
        <v>1</v>
      </c>
      <c r="AH20" s="69">
        <f t="shared" si="6"/>
        <v>6.666666666666667</v>
      </c>
      <c r="AI20" s="70">
        <f t="shared" si="16"/>
        <v>400</v>
      </c>
      <c r="AJ20" s="69"/>
      <c r="AK20" s="69">
        <v>400</v>
      </c>
      <c r="AL20" s="69"/>
    </row>
    <row r="21" spans="1:38" x14ac:dyDescent="0.25">
      <c r="A21" s="56">
        <f t="shared" si="19"/>
        <v>12</v>
      </c>
      <c r="B21" s="68" t="s">
        <v>157</v>
      </c>
      <c r="C21" s="56">
        <f t="shared" si="7"/>
        <v>4</v>
      </c>
      <c r="D21" s="69">
        <f t="shared" si="7"/>
        <v>41.666666666666664</v>
      </c>
      <c r="E21" s="69">
        <f t="shared" si="8"/>
        <v>2500</v>
      </c>
      <c r="F21" s="69">
        <f t="shared" si="9"/>
        <v>1239</v>
      </c>
      <c r="G21" s="69">
        <f t="shared" si="9"/>
        <v>940</v>
      </c>
      <c r="H21" s="69">
        <f t="shared" si="9"/>
        <v>321</v>
      </c>
      <c r="I21" s="56">
        <f t="shared" si="10"/>
        <v>0</v>
      </c>
      <c r="J21" s="69">
        <f t="shared" si="2"/>
        <v>0</v>
      </c>
      <c r="K21" s="70">
        <f t="shared" si="11"/>
        <v>0</v>
      </c>
      <c r="L21" s="69"/>
      <c r="M21" s="69"/>
      <c r="N21" s="69"/>
      <c r="O21" s="56">
        <v>1</v>
      </c>
      <c r="P21" s="69">
        <f t="shared" si="3"/>
        <v>10.4</v>
      </c>
      <c r="Q21" s="70">
        <f t="shared" si="12"/>
        <v>624</v>
      </c>
      <c r="R21" s="69">
        <v>309</v>
      </c>
      <c r="S21" s="69">
        <v>235</v>
      </c>
      <c r="T21" s="69">
        <v>80</v>
      </c>
      <c r="U21" s="56">
        <v>1</v>
      </c>
      <c r="V21" s="69">
        <f t="shared" si="4"/>
        <v>10.433333333333334</v>
      </c>
      <c r="W21" s="70">
        <f t="shared" si="13"/>
        <v>626</v>
      </c>
      <c r="X21" s="69">
        <v>310</v>
      </c>
      <c r="Y21" s="69">
        <v>235</v>
      </c>
      <c r="Z21" s="69">
        <v>81</v>
      </c>
      <c r="AA21" s="56">
        <v>1</v>
      </c>
      <c r="AB21" s="69">
        <f t="shared" si="5"/>
        <v>10.416666666666666</v>
      </c>
      <c r="AC21" s="70">
        <f t="shared" si="15"/>
        <v>625</v>
      </c>
      <c r="AD21" s="69">
        <v>310</v>
      </c>
      <c r="AE21" s="69">
        <v>235</v>
      </c>
      <c r="AF21" s="69">
        <v>80</v>
      </c>
      <c r="AG21" s="56">
        <v>1</v>
      </c>
      <c r="AH21" s="69">
        <f t="shared" si="6"/>
        <v>10.416666666666666</v>
      </c>
      <c r="AI21" s="70">
        <f t="shared" si="16"/>
        <v>625</v>
      </c>
      <c r="AJ21" s="69">
        <v>310</v>
      </c>
      <c r="AK21" s="69">
        <v>235</v>
      </c>
      <c r="AL21" s="69">
        <v>80</v>
      </c>
    </row>
    <row r="22" spans="1:38" ht="25.5" x14ac:dyDescent="0.25">
      <c r="A22" s="56">
        <f t="shared" si="19"/>
        <v>13</v>
      </c>
      <c r="B22" s="68" t="s">
        <v>144</v>
      </c>
      <c r="C22" s="56">
        <f t="shared" si="7"/>
        <v>1</v>
      </c>
      <c r="D22" s="69">
        <f t="shared" si="7"/>
        <v>9.2666666666666675</v>
      </c>
      <c r="E22" s="69">
        <f t="shared" si="8"/>
        <v>556</v>
      </c>
      <c r="F22" s="69">
        <f t="shared" si="9"/>
        <v>150</v>
      </c>
      <c r="G22" s="69">
        <f t="shared" si="9"/>
        <v>406</v>
      </c>
      <c r="H22" s="69">
        <f t="shared" si="9"/>
        <v>0</v>
      </c>
      <c r="I22" s="56">
        <f t="shared" si="10"/>
        <v>0</v>
      </c>
      <c r="J22" s="69">
        <f t="shared" si="2"/>
        <v>0</v>
      </c>
      <c r="K22" s="70">
        <f t="shared" si="11"/>
        <v>0</v>
      </c>
      <c r="L22" s="69"/>
      <c r="M22" s="69"/>
      <c r="N22" s="69"/>
      <c r="O22" s="56">
        <v>1</v>
      </c>
      <c r="P22" s="69">
        <f t="shared" si="3"/>
        <v>9.2666666666666675</v>
      </c>
      <c r="Q22" s="70">
        <f t="shared" si="12"/>
        <v>556</v>
      </c>
      <c r="R22" s="69">
        <v>150</v>
      </c>
      <c r="S22" s="69">
        <v>406</v>
      </c>
      <c r="T22" s="69"/>
      <c r="U22" s="56">
        <f t="shared" ref="U22:U41" si="23">W22/1000</f>
        <v>0</v>
      </c>
      <c r="V22" s="69">
        <f t="shared" si="4"/>
        <v>0</v>
      </c>
      <c r="W22" s="70">
        <f t="shared" si="13"/>
        <v>0</v>
      </c>
      <c r="X22" s="69"/>
      <c r="Y22" s="69"/>
      <c r="Z22" s="69"/>
      <c r="AA22" s="56">
        <f t="shared" si="14"/>
        <v>0</v>
      </c>
      <c r="AB22" s="69">
        <f t="shared" si="5"/>
        <v>0</v>
      </c>
      <c r="AC22" s="70">
        <f t="shared" si="15"/>
        <v>0</v>
      </c>
      <c r="AD22" s="69"/>
      <c r="AE22" s="69"/>
      <c r="AF22" s="69"/>
      <c r="AG22" s="56">
        <f t="shared" si="18"/>
        <v>0</v>
      </c>
      <c r="AH22" s="69">
        <f t="shared" si="6"/>
        <v>0</v>
      </c>
      <c r="AI22" s="70">
        <f t="shared" si="16"/>
        <v>0</v>
      </c>
      <c r="AJ22" s="69"/>
      <c r="AK22" s="69"/>
      <c r="AL22" s="69"/>
    </row>
    <row r="23" spans="1:38" x14ac:dyDescent="0.25">
      <c r="A23" s="56">
        <f t="shared" si="19"/>
        <v>14</v>
      </c>
      <c r="B23" s="68" t="s">
        <v>118</v>
      </c>
      <c r="C23" s="56">
        <f t="shared" si="7"/>
        <v>4</v>
      </c>
      <c r="D23" s="69">
        <f t="shared" si="7"/>
        <v>41.666666666666671</v>
      </c>
      <c r="E23" s="69">
        <f t="shared" si="8"/>
        <v>2500</v>
      </c>
      <c r="F23" s="69">
        <f t="shared" si="9"/>
        <v>0</v>
      </c>
      <c r="G23" s="69">
        <f t="shared" si="9"/>
        <v>2154</v>
      </c>
      <c r="H23" s="69">
        <f t="shared" si="9"/>
        <v>346</v>
      </c>
      <c r="I23" s="56">
        <f t="shared" si="10"/>
        <v>0</v>
      </c>
      <c r="J23" s="69">
        <f t="shared" si="2"/>
        <v>0</v>
      </c>
      <c r="K23" s="70">
        <f t="shared" si="11"/>
        <v>0</v>
      </c>
      <c r="L23" s="69"/>
      <c r="M23" s="69"/>
      <c r="N23" s="69"/>
      <c r="O23" s="56">
        <v>1</v>
      </c>
      <c r="P23" s="69">
        <f t="shared" si="3"/>
        <v>10.433333333333334</v>
      </c>
      <c r="Q23" s="70">
        <f t="shared" si="12"/>
        <v>626</v>
      </c>
      <c r="R23" s="69"/>
      <c r="S23" s="69">
        <v>539</v>
      </c>
      <c r="T23" s="69">
        <v>87</v>
      </c>
      <c r="U23" s="56">
        <v>1</v>
      </c>
      <c r="V23" s="69">
        <f t="shared" si="4"/>
        <v>10.433333333333334</v>
      </c>
      <c r="W23" s="70">
        <f t="shared" si="13"/>
        <v>626</v>
      </c>
      <c r="X23" s="69"/>
      <c r="Y23" s="69">
        <v>539</v>
      </c>
      <c r="Z23" s="69">
        <v>87</v>
      </c>
      <c r="AA23" s="56">
        <v>1</v>
      </c>
      <c r="AB23" s="69">
        <f t="shared" si="5"/>
        <v>10.433333333333334</v>
      </c>
      <c r="AC23" s="70">
        <f t="shared" si="15"/>
        <v>626</v>
      </c>
      <c r="AD23" s="69"/>
      <c r="AE23" s="69">
        <v>539</v>
      </c>
      <c r="AF23" s="69">
        <v>87</v>
      </c>
      <c r="AG23" s="56">
        <v>1</v>
      </c>
      <c r="AH23" s="69">
        <f t="shared" si="6"/>
        <v>10.366666666666667</v>
      </c>
      <c r="AI23" s="70">
        <f t="shared" si="16"/>
        <v>622</v>
      </c>
      <c r="AJ23" s="69"/>
      <c r="AK23" s="69">
        <v>537</v>
      </c>
      <c r="AL23" s="69">
        <v>85</v>
      </c>
    </row>
    <row r="24" spans="1:38" x14ac:dyDescent="0.25">
      <c r="A24" s="56">
        <f t="shared" si="19"/>
        <v>15</v>
      </c>
      <c r="B24" s="68" t="s">
        <v>123</v>
      </c>
      <c r="C24" s="56">
        <f t="shared" si="7"/>
        <v>4</v>
      </c>
      <c r="D24" s="69">
        <f t="shared" si="7"/>
        <v>41.666666666666664</v>
      </c>
      <c r="E24" s="69">
        <f t="shared" si="8"/>
        <v>2500</v>
      </c>
      <c r="F24" s="69">
        <f t="shared" si="9"/>
        <v>1883</v>
      </c>
      <c r="G24" s="69">
        <f t="shared" si="9"/>
        <v>617</v>
      </c>
      <c r="H24" s="69">
        <f t="shared" si="9"/>
        <v>0</v>
      </c>
      <c r="I24" s="56">
        <f t="shared" si="10"/>
        <v>0</v>
      </c>
      <c r="J24" s="69">
        <f t="shared" si="2"/>
        <v>0</v>
      </c>
      <c r="K24" s="70">
        <f t="shared" si="11"/>
        <v>0</v>
      </c>
      <c r="L24" s="69"/>
      <c r="M24" s="69"/>
      <c r="N24" s="69"/>
      <c r="O24" s="56">
        <v>1</v>
      </c>
      <c r="P24" s="69">
        <f t="shared" si="3"/>
        <v>10.416666666666666</v>
      </c>
      <c r="Q24" s="70">
        <f t="shared" si="12"/>
        <v>625</v>
      </c>
      <c r="R24" s="69">
        <v>470</v>
      </c>
      <c r="S24" s="69">
        <v>155</v>
      </c>
      <c r="T24" s="69"/>
      <c r="U24" s="56">
        <v>1</v>
      </c>
      <c r="V24" s="69">
        <f t="shared" si="4"/>
        <v>10.416666666666666</v>
      </c>
      <c r="W24" s="70">
        <f t="shared" si="13"/>
        <v>625</v>
      </c>
      <c r="X24" s="69">
        <v>471</v>
      </c>
      <c r="Y24" s="69">
        <v>154</v>
      </c>
      <c r="Z24" s="69"/>
      <c r="AA24" s="56">
        <v>1</v>
      </c>
      <c r="AB24" s="69">
        <f t="shared" si="5"/>
        <v>10.416666666666666</v>
      </c>
      <c r="AC24" s="70">
        <f t="shared" si="15"/>
        <v>625</v>
      </c>
      <c r="AD24" s="69">
        <v>471</v>
      </c>
      <c r="AE24" s="69">
        <v>154</v>
      </c>
      <c r="AF24" s="69"/>
      <c r="AG24" s="56">
        <v>1</v>
      </c>
      <c r="AH24" s="69">
        <f t="shared" si="6"/>
        <v>10.416666666666666</v>
      </c>
      <c r="AI24" s="70">
        <f t="shared" si="16"/>
        <v>625</v>
      </c>
      <c r="AJ24" s="69">
        <v>471</v>
      </c>
      <c r="AK24" s="69">
        <v>154</v>
      </c>
      <c r="AL24" s="69"/>
    </row>
    <row r="25" spans="1:38" x14ac:dyDescent="0.25">
      <c r="A25" s="56">
        <f t="shared" si="19"/>
        <v>16</v>
      </c>
      <c r="B25" s="68" t="s">
        <v>129</v>
      </c>
      <c r="C25" s="56">
        <f t="shared" si="7"/>
        <v>2</v>
      </c>
      <c r="D25" s="69">
        <f t="shared" si="7"/>
        <v>12.5</v>
      </c>
      <c r="E25" s="69">
        <f t="shared" si="8"/>
        <v>750</v>
      </c>
      <c r="F25" s="69">
        <f t="shared" si="9"/>
        <v>210</v>
      </c>
      <c r="G25" s="69">
        <f t="shared" si="9"/>
        <v>443</v>
      </c>
      <c r="H25" s="69">
        <f t="shared" si="9"/>
        <v>97</v>
      </c>
      <c r="I25" s="56">
        <f t="shared" si="10"/>
        <v>0</v>
      </c>
      <c r="J25" s="69">
        <f t="shared" si="2"/>
        <v>0</v>
      </c>
      <c r="K25" s="70">
        <f t="shared" si="11"/>
        <v>0</v>
      </c>
      <c r="L25" s="69"/>
      <c r="M25" s="69"/>
      <c r="N25" s="69"/>
      <c r="O25" s="56">
        <v>1</v>
      </c>
      <c r="P25" s="69">
        <f t="shared" si="3"/>
        <v>6.2666666666666666</v>
      </c>
      <c r="Q25" s="70">
        <f t="shared" si="12"/>
        <v>376</v>
      </c>
      <c r="R25" s="69">
        <v>105</v>
      </c>
      <c r="S25" s="69">
        <v>222</v>
      </c>
      <c r="T25" s="69">
        <v>49</v>
      </c>
      <c r="U25" s="56">
        <v>1</v>
      </c>
      <c r="V25" s="69">
        <f t="shared" si="4"/>
        <v>6.2333333333333334</v>
      </c>
      <c r="W25" s="70">
        <f t="shared" si="13"/>
        <v>374</v>
      </c>
      <c r="X25" s="69">
        <v>105</v>
      </c>
      <c r="Y25" s="69">
        <v>221</v>
      </c>
      <c r="Z25" s="69">
        <v>48</v>
      </c>
      <c r="AA25" s="56">
        <f t="shared" si="14"/>
        <v>0</v>
      </c>
      <c r="AB25" s="69">
        <f t="shared" si="5"/>
        <v>0</v>
      </c>
      <c r="AC25" s="70">
        <f t="shared" si="15"/>
        <v>0</v>
      </c>
      <c r="AD25" s="69"/>
      <c r="AE25" s="69"/>
      <c r="AF25" s="69"/>
      <c r="AG25" s="56">
        <f t="shared" si="18"/>
        <v>0</v>
      </c>
      <c r="AH25" s="69">
        <f t="shared" si="6"/>
        <v>0</v>
      </c>
      <c r="AI25" s="70">
        <f t="shared" si="16"/>
        <v>0</v>
      </c>
      <c r="AJ25" s="69"/>
      <c r="AK25" s="69"/>
      <c r="AL25" s="69"/>
    </row>
    <row r="26" spans="1:38" x14ac:dyDescent="0.25">
      <c r="A26" s="56">
        <f t="shared" si="19"/>
        <v>17</v>
      </c>
      <c r="B26" s="68" t="s">
        <v>88</v>
      </c>
      <c r="C26" s="56">
        <f t="shared" si="7"/>
        <v>11</v>
      </c>
      <c r="D26" s="69">
        <f t="shared" si="7"/>
        <v>134.94999999999999</v>
      </c>
      <c r="E26" s="69">
        <f t="shared" si="8"/>
        <v>8097</v>
      </c>
      <c r="F26" s="69">
        <f t="shared" si="9"/>
        <v>2068</v>
      </c>
      <c r="G26" s="69">
        <f t="shared" si="9"/>
        <v>5282</v>
      </c>
      <c r="H26" s="69">
        <f t="shared" si="9"/>
        <v>747</v>
      </c>
      <c r="I26" s="56">
        <v>3</v>
      </c>
      <c r="J26" s="69">
        <f t="shared" si="2"/>
        <v>27.016666666666666</v>
      </c>
      <c r="K26" s="70">
        <f t="shared" si="11"/>
        <v>1621</v>
      </c>
      <c r="L26" s="69">
        <f>414-2</f>
        <v>412</v>
      </c>
      <c r="M26" s="69">
        <f>1056+2</f>
        <v>1058</v>
      </c>
      <c r="N26" s="69">
        <f>149+2</f>
        <v>151</v>
      </c>
      <c r="O26" s="56">
        <v>2</v>
      </c>
      <c r="P26" s="69">
        <f t="shared" si="3"/>
        <v>26.983333333333334</v>
      </c>
      <c r="Q26" s="70">
        <f t="shared" si="12"/>
        <v>1619</v>
      </c>
      <c r="R26" s="69">
        <v>414</v>
      </c>
      <c r="S26" s="69">
        <v>1056</v>
      </c>
      <c r="T26" s="69">
        <v>149</v>
      </c>
      <c r="U26" s="56">
        <v>2</v>
      </c>
      <c r="V26" s="69">
        <f t="shared" si="4"/>
        <v>26.983333333333334</v>
      </c>
      <c r="W26" s="70">
        <f t="shared" si="13"/>
        <v>1619</v>
      </c>
      <c r="X26" s="69">
        <v>414</v>
      </c>
      <c r="Y26" s="69">
        <v>1056</v>
      </c>
      <c r="Z26" s="69">
        <v>149</v>
      </c>
      <c r="AA26" s="56">
        <v>2</v>
      </c>
      <c r="AB26" s="69">
        <f t="shared" si="5"/>
        <v>26.983333333333334</v>
      </c>
      <c r="AC26" s="70">
        <f t="shared" si="15"/>
        <v>1619</v>
      </c>
      <c r="AD26" s="69">
        <v>414</v>
      </c>
      <c r="AE26" s="69">
        <v>1056</v>
      </c>
      <c r="AF26" s="69">
        <v>149</v>
      </c>
      <c r="AG26" s="56">
        <v>2</v>
      </c>
      <c r="AH26" s="69">
        <f t="shared" si="6"/>
        <v>26.983333333333334</v>
      </c>
      <c r="AI26" s="70">
        <f t="shared" si="16"/>
        <v>1619</v>
      </c>
      <c r="AJ26" s="69">
        <v>414</v>
      </c>
      <c r="AK26" s="69">
        <v>1056</v>
      </c>
      <c r="AL26" s="69">
        <v>149</v>
      </c>
    </row>
    <row r="27" spans="1:38" ht="25.5" x14ac:dyDescent="0.25">
      <c r="A27" s="56">
        <f t="shared" si="19"/>
        <v>18</v>
      </c>
      <c r="B27" s="68" t="s">
        <v>121</v>
      </c>
      <c r="C27" s="56">
        <f t="shared" si="7"/>
        <v>3</v>
      </c>
      <c r="D27" s="69">
        <f t="shared" si="7"/>
        <v>50</v>
      </c>
      <c r="E27" s="69">
        <f t="shared" si="8"/>
        <v>3000</v>
      </c>
      <c r="F27" s="69">
        <f t="shared" si="9"/>
        <v>0</v>
      </c>
      <c r="G27" s="69">
        <f t="shared" si="9"/>
        <v>2500</v>
      </c>
      <c r="H27" s="69">
        <f t="shared" si="9"/>
        <v>500</v>
      </c>
      <c r="I27" s="56">
        <f t="shared" si="10"/>
        <v>1</v>
      </c>
      <c r="J27" s="69">
        <f t="shared" si="2"/>
        <v>16.666666666666668</v>
      </c>
      <c r="K27" s="70">
        <f t="shared" si="11"/>
        <v>1000</v>
      </c>
      <c r="L27" s="69"/>
      <c r="M27" s="69">
        <v>833</v>
      </c>
      <c r="N27" s="69">
        <v>167</v>
      </c>
      <c r="O27" s="56">
        <f t="shared" si="17"/>
        <v>1</v>
      </c>
      <c r="P27" s="69">
        <f t="shared" si="3"/>
        <v>16.666666666666668</v>
      </c>
      <c r="Q27" s="70">
        <f t="shared" si="12"/>
        <v>1000</v>
      </c>
      <c r="R27" s="69"/>
      <c r="S27" s="69">
        <v>833</v>
      </c>
      <c r="T27" s="69">
        <v>167</v>
      </c>
      <c r="U27" s="56">
        <f t="shared" si="23"/>
        <v>1</v>
      </c>
      <c r="V27" s="69">
        <f t="shared" si="4"/>
        <v>16.666666666666668</v>
      </c>
      <c r="W27" s="70">
        <f t="shared" si="13"/>
        <v>1000</v>
      </c>
      <c r="X27" s="69"/>
      <c r="Y27" s="69">
        <f>833+1</f>
        <v>834</v>
      </c>
      <c r="Z27" s="69">
        <f>167-1</f>
        <v>166</v>
      </c>
      <c r="AA27" s="56">
        <f t="shared" si="14"/>
        <v>0</v>
      </c>
      <c r="AB27" s="69">
        <f t="shared" si="5"/>
        <v>0</v>
      </c>
      <c r="AC27" s="70">
        <f t="shared" si="15"/>
        <v>0</v>
      </c>
      <c r="AD27" s="69"/>
      <c r="AE27" s="69"/>
      <c r="AF27" s="69"/>
      <c r="AG27" s="56">
        <f t="shared" si="18"/>
        <v>0</v>
      </c>
      <c r="AH27" s="69">
        <f t="shared" si="6"/>
        <v>0</v>
      </c>
      <c r="AI27" s="70">
        <f t="shared" si="16"/>
        <v>0</v>
      </c>
      <c r="AJ27" s="69"/>
      <c r="AK27" s="69"/>
      <c r="AL27" s="69"/>
    </row>
    <row r="28" spans="1:38" ht="25.5" x14ac:dyDescent="0.25">
      <c r="A28" s="56">
        <f t="shared" si="19"/>
        <v>19</v>
      </c>
      <c r="B28" s="68" t="s">
        <v>122</v>
      </c>
      <c r="C28" s="56">
        <f t="shared" si="7"/>
        <v>6</v>
      </c>
      <c r="D28" s="69">
        <f t="shared" si="7"/>
        <v>83.333333333333343</v>
      </c>
      <c r="E28" s="69">
        <f t="shared" si="8"/>
        <v>5000</v>
      </c>
      <c r="F28" s="69">
        <f t="shared" si="9"/>
        <v>2200</v>
      </c>
      <c r="G28" s="69">
        <f t="shared" si="9"/>
        <v>2782</v>
      </c>
      <c r="H28" s="69">
        <f t="shared" si="9"/>
        <v>18</v>
      </c>
      <c r="I28" s="56">
        <v>2</v>
      </c>
      <c r="J28" s="69">
        <f t="shared" si="2"/>
        <v>16.933333333333334</v>
      </c>
      <c r="K28" s="70">
        <f t="shared" si="11"/>
        <v>1016</v>
      </c>
      <c r="L28" s="69">
        <v>440</v>
      </c>
      <c r="M28" s="69">
        <f>556+2</f>
        <v>558</v>
      </c>
      <c r="N28" s="69">
        <v>18</v>
      </c>
      <c r="O28" s="56">
        <v>1</v>
      </c>
      <c r="P28" s="69">
        <f t="shared" si="3"/>
        <v>16.600000000000001</v>
      </c>
      <c r="Q28" s="70">
        <f t="shared" si="12"/>
        <v>996</v>
      </c>
      <c r="R28" s="69">
        <v>440</v>
      </c>
      <c r="S28" s="69">
        <v>556</v>
      </c>
      <c r="T28" s="69"/>
      <c r="U28" s="56">
        <v>1</v>
      </c>
      <c r="V28" s="69">
        <f t="shared" si="4"/>
        <v>16.600000000000001</v>
      </c>
      <c r="W28" s="70">
        <f t="shared" si="13"/>
        <v>996</v>
      </c>
      <c r="X28" s="69">
        <v>440</v>
      </c>
      <c r="Y28" s="69">
        <v>556</v>
      </c>
      <c r="Z28" s="69"/>
      <c r="AA28" s="56">
        <v>1</v>
      </c>
      <c r="AB28" s="69">
        <f t="shared" si="5"/>
        <v>16.600000000000001</v>
      </c>
      <c r="AC28" s="70">
        <f t="shared" si="15"/>
        <v>996</v>
      </c>
      <c r="AD28" s="69">
        <v>440</v>
      </c>
      <c r="AE28" s="69">
        <v>556</v>
      </c>
      <c r="AF28" s="69"/>
      <c r="AG28" s="56">
        <v>1</v>
      </c>
      <c r="AH28" s="69">
        <f t="shared" si="6"/>
        <v>16.600000000000001</v>
      </c>
      <c r="AI28" s="70">
        <f t="shared" si="16"/>
        <v>996</v>
      </c>
      <c r="AJ28" s="69">
        <v>440</v>
      </c>
      <c r="AK28" s="69">
        <v>556</v>
      </c>
      <c r="AL28" s="69"/>
    </row>
    <row r="29" spans="1:38" x14ac:dyDescent="0.25">
      <c r="A29" s="56">
        <f t="shared" si="19"/>
        <v>20</v>
      </c>
      <c r="B29" s="68" t="s">
        <v>131</v>
      </c>
      <c r="C29" s="56">
        <f>I29+O29+U29+AA29+AG29</f>
        <v>5</v>
      </c>
      <c r="D29" s="69">
        <f t="shared" si="7"/>
        <v>41.666666666666671</v>
      </c>
      <c r="E29" s="69">
        <f t="shared" si="8"/>
        <v>2500</v>
      </c>
      <c r="F29" s="69">
        <f t="shared" si="9"/>
        <v>0</v>
      </c>
      <c r="G29" s="69">
        <f t="shared" si="9"/>
        <v>2500</v>
      </c>
      <c r="H29" s="69">
        <f t="shared" si="9"/>
        <v>0</v>
      </c>
      <c r="I29" s="56">
        <v>1</v>
      </c>
      <c r="J29" s="69">
        <f t="shared" si="2"/>
        <v>8.3333333333333339</v>
      </c>
      <c r="K29" s="70">
        <f t="shared" si="11"/>
        <v>500</v>
      </c>
      <c r="L29" s="71"/>
      <c r="M29" s="71">
        <v>500</v>
      </c>
      <c r="N29" s="71"/>
      <c r="O29" s="56">
        <v>1</v>
      </c>
      <c r="P29" s="69">
        <f t="shared" si="3"/>
        <v>8.3333333333333339</v>
      </c>
      <c r="Q29" s="70">
        <f t="shared" si="12"/>
        <v>500</v>
      </c>
      <c r="R29" s="69"/>
      <c r="S29" s="69">
        <v>500</v>
      </c>
      <c r="T29" s="69"/>
      <c r="U29" s="56">
        <v>1</v>
      </c>
      <c r="V29" s="69">
        <f t="shared" si="4"/>
        <v>8.3333333333333339</v>
      </c>
      <c r="W29" s="70">
        <f t="shared" si="13"/>
        <v>500</v>
      </c>
      <c r="X29" s="69"/>
      <c r="Y29" s="69">
        <v>500</v>
      </c>
      <c r="Z29" s="69"/>
      <c r="AA29" s="56">
        <v>1</v>
      </c>
      <c r="AB29" s="69">
        <f t="shared" si="5"/>
        <v>8.3333333333333339</v>
      </c>
      <c r="AC29" s="70">
        <f t="shared" si="15"/>
        <v>500</v>
      </c>
      <c r="AD29" s="69"/>
      <c r="AE29" s="69">
        <v>500</v>
      </c>
      <c r="AF29" s="69"/>
      <c r="AG29" s="56">
        <v>1</v>
      </c>
      <c r="AH29" s="69">
        <f t="shared" si="6"/>
        <v>8.3333333333333339</v>
      </c>
      <c r="AI29" s="70">
        <f t="shared" si="16"/>
        <v>500</v>
      </c>
      <c r="AJ29" s="69"/>
      <c r="AK29" s="69">
        <v>500</v>
      </c>
      <c r="AL29" s="69"/>
    </row>
    <row r="30" spans="1:38" x14ac:dyDescent="0.25">
      <c r="A30" s="56">
        <f t="shared" si="19"/>
        <v>21</v>
      </c>
      <c r="B30" s="68" t="s">
        <v>89</v>
      </c>
      <c r="C30" s="56">
        <f t="shared" si="7"/>
        <v>5</v>
      </c>
      <c r="D30" s="69">
        <f t="shared" si="7"/>
        <v>41.666666666666671</v>
      </c>
      <c r="E30" s="69">
        <f t="shared" si="8"/>
        <v>2500</v>
      </c>
      <c r="F30" s="69">
        <f t="shared" si="9"/>
        <v>0</v>
      </c>
      <c r="G30" s="69">
        <f t="shared" si="9"/>
        <v>2500</v>
      </c>
      <c r="H30" s="69">
        <f t="shared" si="9"/>
        <v>0</v>
      </c>
      <c r="I30" s="56">
        <v>1</v>
      </c>
      <c r="J30" s="69">
        <f t="shared" si="2"/>
        <v>8.3333333333333339</v>
      </c>
      <c r="K30" s="70">
        <f t="shared" si="11"/>
        <v>500</v>
      </c>
      <c r="L30" s="69"/>
      <c r="M30" s="69">
        <v>500</v>
      </c>
      <c r="N30" s="69"/>
      <c r="O30" s="56">
        <v>1</v>
      </c>
      <c r="P30" s="69">
        <f t="shared" si="3"/>
        <v>8.3333333333333339</v>
      </c>
      <c r="Q30" s="70">
        <f t="shared" si="12"/>
        <v>500</v>
      </c>
      <c r="R30" s="69"/>
      <c r="S30" s="69">
        <v>500</v>
      </c>
      <c r="T30" s="69"/>
      <c r="U30" s="56">
        <v>1</v>
      </c>
      <c r="V30" s="69">
        <f t="shared" si="4"/>
        <v>8.3333333333333339</v>
      </c>
      <c r="W30" s="70">
        <f t="shared" si="13"/>
        <v>500</v>
      </c>
      <c r="X30" s="69"/>
      <c r="Y30" s="69">
        <v>500</v>
      </c>
      <c r="Z30" s="69"/>
      <c r="AA30" s="56">
        <v>1</v>
      </c>
      <c r="AB30" s="69">
        <f t="shared" si="5"/>
        <v>8.3333333333333339</v>
      </c>
      <c r="AC30" s="70">
        <f t="shared" si="15"/>
        <v>500</v>
      </c>
      <c r="AD30" s="69"/>
      <c r="AE30" s="69">
        <v>500</v>
      </c>
      <c r="AF30" s="69"/>
      <c r="AG30" s="56">
        <v>1</v>
      </c>
      <c r="AH30" s="69">
        <f t="shared" si="6"/>
        <v>8.3333333333333339</v>
      </c>
      <c r="AI30" s="70">
        <f t="shared" si="16"/>
        <v>500</v>
      </c>
      <c r="AJ30" s="69"/>
      <c r="AK30" s="69">
        <v>500</v>
      </c>
      <c r="AL30" s="69"/>
    </row>
    <row r="31" spans="1:38" x14ac:dyDescent="0.25">
      <c r="A31" s="56">
        <f t="shared" si="19"/>
        <v>22</v>
      </c>
      <c r="B31" s="68" t="s">
        <v>86</v>
      </c>
      <c r="C31" s="56">
        <f t="shared" si="7"/>
        <v>5</v>
      </c>
      <c r="D31" s="69">
        <f t="shared" si="7"/>
        <v>83.333333333333343</v>
      </c>
      <c r="E31" s="69">
        <f t="shared" si="8"/>
        <v>5000</v>
      </c>
      <c r="F31" s="69">
        <f t="shared" si="9"/>
        <v>0</v>
      </c>
      <c r="G31" s="69">
        <f t="shared" si="9"/>
        <v>5000</v>
      </c>
      <c r="H31" s="69">
        <f t="shared" si="9"/>
        <v>0</v>
      </c>
      <c r="I31" s="56">
        <f t="shared" si="10"/>
        <v>0</v>
      </c>
      <c r="J31" s="69">
        <f t="shared" si="2"/>
        <v>0</v>
      </c>
      <c r="K31" s="70">
        <f t="shared" si="11"/>
        <v>0</v>
      </c>
      <c r="L31" s="69"/>
      <c r="M31" s="69"/>
      <c r="N31" s="69"/>
      <c r="O31" s="56">
        <f t="shared" si="17"/>
        <v>2</v>
      </c>
      <c r="P31" s="69">
        <f t="shared" si="3"/>
        <v>33.333333333333336</v>
      </c>
      <c r="Q31" s="70">
        <f t="shared" si="12"/>
        <v>2000</v>
      </c>
      <c r="R31" s="69"/>
      <c r="S31" s="69">
        <v>2000</v>
      </c>
      <c r="T31" s="69"/>
      <c r="U31" s="56">
        <f t="shared" si="23"/>
        <v>2</v>
      </c>
      <c r="V31" s="69">
        <f t="shared" si="4"/>
        <v>33.333333333333336</v>
      </c>
      <c r="W31" s="70">
        <f t="shared" si="13"/>
        <v>2000</v>
      </c>
      <c r="X31" s="69"/>
      <c r="Y31" s="69">
        <v>2000</v>
      </c>
      <c r="Z31" s="69"/>
      <c r="AA31" s="56">
        <f t="shared" si="14"/>
        <v>1</v>
      </c>
      <c r="AB31" s="69">
        <f t="shared" si="5"/>
        <v>16.666666666666668</v>
      </c>
      <c r="AC31" s="70">
        <f t="shared" si="15"/>
        <v>1000</v>
      </c>
      <c r="AD31" s="69"/>
      <c r="AE31" s="69">
        <v>1000</v>
      </c>
      <c r="AF31" s="69"/>
      <c r="AG31" s="56">
        <f t="shared" si="18"/>
        <v>0</v>
      </c>
      <c r="AH31" s="69">
        <f t="shared" si="6"/>
        <v>0</v>
      </c>
      <c r="AI31" s="70">
        <f t="shared" si="16"/>
        <v>0</v>
      </c>
      <c r="AJ31" s="69"/>
      <c r="AK31" s="69"/>
      <c r="AL31" s="69"/>
    </row>
    <row r="32" spans="1:38" s="58" customFormat="1" ht="25.5" x14ac:dyDescent="0.25">
      <c r="A32" s="56">
        <f t="shared" si="19"/>
        <v>23</v>
      </c>
      <c r="B32" s="68" t="s">
        <v>87</v>
      </c>
      <c r="C32" s="56">
        <f t="shared" si="7"/>
        <v>5</v>
      </c>
      <c r="D32" s="69">
        <f t="shared" si="7"/>
        <v>83.333333333333343</v>
      </c>
      <c r="E32" s="69">
        <f t="shared" si="8"/>
        <v>5000</v>
      </c>
      <c r="F32" s="69">
        <f t="shared" si="9"/>
        <v>0</v>
      </c>
      <c r="G32" s="69">
        <f t="shared" si="9"/>
        <v>4698</v>
      </c>
      <c r="H32" s="69">
        <f t="shared" si="9"/>
        <v>302</v>
      </c>
      <c r="I32" s="56">
        <f t="shared" si="10"/>
        <v>1</v>
      </c>
      <c r="J32" s="69">
        <f t="shared" si="2"/>
        <v>16.666666666666668</v>
      </c>
      <c r="K32" s="70">
        <f t="shared" si="11"/>
        <v>1000</v>
      </c>
      <c r="L32" s="69"/>
      <c r="M32" s="69">
        <f>940-2</f>
        <v>938</v>
      </c>
      <c r="N32" s="69">
        <f>60+2</f>
        <v>62</v>
      </c>
      <c r="O32" s="56">
        <f t="shared" si="17"/>
        <v>1</v>
      </c>
      <c r="P32" s="69">
        <f t="shared" si="3"/>
        <v>16.666666666666668</v>
      </c>
      <c r="Q32" s="70">
        <f t="shared" si="12"/>
        <v>1000</v>
      </c>
      <c r="R32" s="69"/>
      <c r="S32" s="69">
        <v>940</v>
      </c>
      <c r="T32" s="69">
        <v>60</v>
      </c>
      <c r="U32" s="56">
        <f t="shared" si="23"/>
        <v>1</v>
      </c>
      <c r="V32" s="69">
        <f t="shared" si="4"/>
        <v>16.666666666666668</v>
      </c>
      <c r="W32" s="70">
        <f t="shared" si="13"/>
        <v>1000</v>
      </c>
      <c r="X32" s="69"/>
      <c r="Y32" s="69">
        <v>940</v>
      </c>
      <c r="Z32" s="69">
        <v>60</v>
      </c>
      <c r="AA32" s="56">
        <f t="shared" si="14"/>
        <v>1</v>
      </c>
      <c r="AB32" s="69">
        <f t="shared" si="5"/>
        <v>16.666666666666668</v>
      </c>
      <c r="AC32" s="70">
        <f t="shared" si="15"/>
        <v>1000</v>
      </c>
      <c r="AD32" s="69"/>
      <c r="AE32" s="69">
        <v>940</v>
      </c>
      <c r="AF32" s="69">
        <v>60</v>
      </c>
      <c r="AG32" s="56">
        <f t="shared" si="18"/>
        <v>1</v>
      </c>
      <c r="AH32" s="69">
        <f t="shared" si="6"/>
        <v>16.666666666666668</v>
      </c>
      <c r="AI32" s="70">
        <f t="shared" si="16"/>
        <v>1000</v>
      </c>
      <c r="AJ32" s="69"/>
      <c r="AK32" s="69">
        <v>940</v>
      </c>
      <c r="AL32" s="69">
        <v>60</v>
      </c>
    </row>
    <row r="33" spans="1:38" ht="25.5" x14ac:dyDescent="0.25">
      <c r="A33" s="56">
        <f t="shared" si="19"/>
        <v>24</v>
      </c>
      <c r="B33" s="68" t="s">
        <v>142</v>
      </c>
      <c r="C33" s="56">
        <f t="shared" si="7"/>
        <v>2</v>
      </c>
      <c r="D33" s="69">
        <f t="shared" si="7"/>
        <v>8.3333333333333339</v>
      </c>
      <c r="E33" s="69">
        <f t="shared" si="8"/>
        <v>500</v>
      </c>
      <c r="F33" s="69">
        <f t="shared" si="9"/>
        <v>200</v>
      </c>
      <c r="G33" s="69">
        <f t="shared" si="9"/>
        <v>235</v>
      </c>
      <c r="H33" s="69">
        <f t="shared" si="9"/>
        <v>65</v>
      </c>
      <c r="I33" s="56">
        <f t="shared" si="10"/>
        <v>0</v>
      </c>
      <c r="J33" s="69">
        <f t="shared" si="2"/>
        <v>0</v>
      </c>
      <c r="K33" s="70">
        <f t="shared" si="11"/>
        <v>0</v>
      </c>
      <c r="L33" s="69"/>
      <c r="M33" s="69"/>
      <c r="N33" s="69"/>
      <c r="O33" s="56">
        <v>1</v>
      </c>
      <c r="P33" s="69">
        <f t="shared" si="3"/>
        <v>4.1500000000000004</v>
      </c>
      <c r="Q33" s="70">
        <f t="shared" si="12"/>
        <v>249</v>
      </c>
      <c r="R33" s="69">
        <v>100</v>
      </c>
      <c r="S33" s="69">
        <f>118-1</f>
        <v>117</v>
      </c>
      <c r="T33" s="69">
        <v>32</v>
      </c>
      <c r="U33" s="56">
        <v>1</v>
      </c>
      <c r="V33" s="69">
        <f t="shared" si="4"/>
        <v>4.1833333333333336</v>
      </c>
      <c r="W33" s="70">
        <f t="shared" si="13"/>
        <v>251</v>
      </c>
      <c r="X33" s="69">
        <v>100</v>
      </c>
      <c r="Y33" s="69">
        <v>118</v>
      </c>
      <c r="Z33" s="69">
        <v>33</v>
      </c>
      <c r="AA33" s="56">
        <f t="shared" si="14"/>
        <v>0</v>
      </c>
      <c r="AB33" s="69">
        <f t="shared" si="5"/>
        <v>0</v>
      </c>
      <c r="AC33" s="70">
        <f t="shared" si="15"/>
        <v>0</v>
      </c>
      <c r="AD33" s="69"/>
      <c r="AE33" s="69"/>
      <c r="AF33" s="69"/>
      <c r="AG33" s="56">
        <f t="shared" si="18"/>
        <v>0</v>
      </c>
      <c r="AH33" s="69">
        <f t="shared" si="6"/>
        <v>0</v>
      </c>
      <c r="AI33" s="70">
        <f t="shared" si="16"/>
        <v>0</v>
      </c>
      <c r="AJ33" s="69"/>
      <c r="AK33" s="69"/>
      <c r="AL33" s="69"/>
    </row>
    <row r="34" spans="1:38" x14ac:dyDescent="0.25">
      <c r="A34" s="56">
        <f t="shared" si="19"/>
        <v>25</v>
      </c>
      <c r="B34" s="68" t="s">
        <v>95</v>
      </c>
      <c r="C34" s="56">
        <f t="shared" si="7"/>
        <v>5</v>
      </c>
      <c r="D34" s="69">
        <f t="shared" si="7"/>
        <v>70</v>
      </c>
      <c r="E34" s="69">
        <f t="shared" si="8"/>
        <v>4200</v>
      </c>
      <c r="F34" s="69">
        <f t="shared" si="9"/>
        <v>2397</v>
      </c>
      <c r="G34" s="69">
        <f t="shared" si="9"/>
        <v>1803</v>
      </c>
      <c r="H34" s="69">
        <f t="shared" si="9"/>
        <v>0</v>
      </c>
      <c r="I34" s="56">
        <v>1</v>
      </c>
      <c r="J34" s="69">
        <f t="shared" si="2"/>
        <v>14</v>
      </c>
      <c r="K34" s="70">
        <f t="shared" si="11"/>
        <v>840</v>
      </c>
      <c r="L34" s="69">
        <f>479+2</f>
        <v>481</v>
      </c>
      <c r="M34" s="69">
        <f>361-2</f>
        <v>359</v>
      </c>
      <c r="N34" s="69"/>
      <c r="O34" s="56">
        <v>1</v>
      </c>
      <c r="P34" s="69">
        <f t="shared" si="3"/>
        <v>14</v>
      </c>
      <c r="Q34" s="70">
        <f t="shared" si="12"/>
        <v>840</v>
      </c>
      <c r="R34" s="69">
        <v>479</v>
      </c>
      <c r="S34" s="69">
        <v>361</v>
      </c>
      <c r="T34" s="69"/>
      <c r="U34" s="56">
        <v>1</v>
      </c>
      <c r="V34" s="69">
        <f t="shared" si="4"/>
        <v>14</v>
      </c>
      <c r="W34" s="70">
        <f t="shared" si="13"/>
        <v>840</v>
      </c>
      <c r="X34" s="69">
        <v>479</v>
      </c>
      <c r="Y34" s="69">
        <v>361</v>
      </c>
      <c r="Z34" s="69"/>
      <c r="AA34" s="56">
        <v>1</v>
      </c>
      <c r="AB34" s="69">
        <f t="shared" si="5"/>
        <v>14</v>
      </c>
      <c r="AC34" s="70">
        <f t="shared" si="15"/>
        <v>840</v>
      </c>
      <c r="AD34" s="69">
        <v>479</v>
      </c>
      <c r="AE34" s="69">
        <v>361</v>
      </c>
      <c r="AF34" s="69"/>
      <c r="AG34" s="56">
        <v>1</v>
      </c>
      <c r="AH34" s="69">
        <f t="shared" si="6"/>
        <v>14</v>
      </c>
      <c r="AI34" s="70">
        <f t="shared" si="16"/>
        <v>840</v>
      </c>
      <c r="AJ34" s="69">
        <v>479</v>
      </c>
      <c r="AK34" s="69">
        <v>361</v>
      </c>
      <c r="AL34" s="69"/>
    </row>
    <row r="35" spans="1:38" x14ac:dyDescent="0.25">
      <c r="A35" s="56">
        <f t="shared" si="19"/>
        <v>26</v>
      </c>
      <c r="B35" s="68" t="s">
        <v>158</v>
      </c>
      <c r="C35" s="56">
        <f t="shared" si="7"/>
        <v>2</v>
      </c>
      <c r="D35" s="69">
        <f t="shared" si="7"/>
        <v>23.3</v>
      </c>
      <c r="E35" s="69">
        <f t="shared" si="8"/>
        <v>1398</v>
      </c>
      <c r="F35" s="69">
        <f t="shared" si="9"/>
        <v>1176</v>
      </c>
      <c r="G35" s="69">
        <f t="shared" si="9"/>
        <v>222</v>
      </c>
      <c r="H35" s="69">
        <f t="shared" si="9"/>
        <v>0</v>
      </c>
      <c r="I35" s="56">
        <v>1</v>
      </c>
      <c r="J35" s="69">
        <f t="shared" si="2"/>
        <v>11.65</v>
      </c>
      <c r="K35" s="70">
        <f t="shared" si="11"/>
        <v>699</v>
      </c>
      <c r="L35" s="69">
        <v>588</v>
      </c>
      <c r="M35" s="69">
        <v>111</v>
      </c>
      <c r="N35" s="69"/>
      <c r="O35" s="56">
        <v>1</v>
      </c>
      <c r="P35" s="69">
        <f t="shared" si="3"/>
        <v>11.65</v>
      </c>
      <c r="Q35" s="70">
        <f t="shared" si="12"/>
        <v>699</v>
      </c>
      <c r="R35" s="69">
        <v>588</v>
      </c>
      <c r="S35" s="69">
        <v>111</v>
      </c>
      <c r="T35" s="69"/>
      <c r="U35" s="56">
        <v>0</v>
      </c>
      <c r="V35" s="69">
        <f t="shared" si="4"/>
        <v>0</v>
      </c>
      <c r="W35" s="70">
        <f t="shared" si="13"/>
        <v>0</v>
      </c>
      <c r="X35" s="69"/>
      <c r="Y35" s="69"/>
      <c r="Z35" s="69"/>
      <c r="AA35" s="56">
        <v>0</v>
      </c>
      <c r="AB35" s="69">
        <f t="shared" si="5"/>
        <v>0</v>
      </c>
      <c r="AC35" s="70">
        <f t="shared" si="15"/>
        <v>0</v>
      </c>
      <c r="AD35" s="69"/>
      <c r="AE35" s="69"/>
      <c r="AF35" s="69"/>
      <c r="AG35" s="56">
        <v>0</v>
      </c>
      <c r="AH35" s="69">
        <f t="shared" si="6"/>
        <v>0</v>
      </c>
      <c r="AI35" s="70">
        <f t="shared" si="16"/>
        <v>0</v>
      </c>
      <c r="AJ35" s="69"/>
      <c r="AK35" s="69"/>
      <c r="AL35" s="69"/>
    </row>
    <row r="36" spans="1:38" x14ac:dyDescent="0.25">
      <c r="A36" s="56">
        <f t="shared" si="19"/>
        <v>27</v>
      </c>
      <c r="B36" s="68" t="s">
        <v>126</v>
      </c>
      <c r="C36" s="56">
        <f t="shared" si="7"/>
        <v>5</v>
      </c>
      <c r="D36" s="69">
        <f t="shared" si="7"/>
        <v>83.333333333333329</v>
      </c>
      <c r="E36" s="69">
        <f t="shared" si="8"/>
        <v>5000</v>
      </c>
      <c r="F36" s="69">
        <f t="shared" si="9"/>
        <v>2500</v>
      </c>
      <c r="G36" s="69">
        <f t="shared" si="9"/>
        <v>1885</v>
      </c>
      <c r="H36" s="69">
        <f t="shared" si="9"/>
        <v>615</v>
      </c>
      <c r="I36" s="56">
        <f t="shared" ref="I36:I37" si="24">K36/1000</f>
        <v>5</v>
      </c>
      <c r="J36" s="69">
        <f t="shared" si="2"/>
        <v>83.333333333333329</v>
      </c>
      <c r="K36" s="70">
        <f t="shared" si="11"/>
        <v>5000</v>
      </c>
      <c r="L36" s="69">
        <v>2500</v>
      </c>
      <c r="M36" s="69">
        <v>1885</v>
      </c>
      <c r="N36" s="69">
        <v>615</v>
      </c>
      <c r="O36" s="56">
        <f t="shared" ref="O36" si="25">Q36/1000</f>
        <v>0</v>
      </c>
      <c r="P36" s="69">
        <f t="shared" si="3"/>
        <v>0</v>
      </c>
      <c r="Q36" s="70">
        <f t="shared" si="12"/>
        <v>0</v>
      </c>
      <c r="R36" s="69"/>
      <c r="S36" s="69"/>
      <c r="T36" s="69"/>
      <c r="U36" s="56">
        <f t="shared" ref="U36" si="26">W36/1000</f>
        <v>0</v>
      </c>
      <c r="V36" s="69">
        <f t="shared" si="4"/>
        <v>0</v>
      </c>
      <c r="W36" s="70">
        <f t="shared" si="13"/>
        <v>0</v>
      </c>
      <c r="X36" s="69"/>
      <c r="Y36" s="69"/>
      <c r="Z36" s="69"/>
      <c r="AA36" s="56">
        <f t="shared" ref="AA36" si="27">AC36/1000</f>
        <v>0</v>
      </c>
      <c r="AB36" s="69">
        <f t="shared" si="5"/>
        <v>0</v>
      </c>
      <c r="AC36" s="70">
        <f t="shared" si="15"/>
        <v>0</v>
      </c>
      <c r="AD36" s="69"/>
      <c r="AE36" s="69"/>
      <c r="AF36" s="69"/>
      <c r="AG36" s="56">
        <f t="shared" ref="AG36" si="28">AI36/1000</f>
        <v>0</v>
      </c>
      <c r="AH36" s="69">
        <f t="shared" si="6"/>
        <v>0</v>
      </c>
      <c r="AI36" s="70">
        <f t="shared" si="16"/>
        <v>0</v>
      </c>
      <c r="AJ36" s="69"/>
      <c r="AK36" s="69"/>
      <c r="AL36" s="69"/>
    </row>
    <row r="37" spans="1:38" x14ac:dyDescent="0.25">
      <c r="A37" s="56">
        <f t="shared" si="19"/>
        <v>28</v>
      </c>
      <c r="B37" s="68" t="s">
        <v>98</v>
      </c>
      <c r="C37" s="56">
        <f t="shared" si="7"/>
        <v>8</v>
      </c>
      <c r="D37" s="69">
        <f t="shared" si="7"/>
        <v>80.016666666666666</v>
      </c>
      <c r="E37" s="69">
        <f t="shared" si="8"/>
        <v>4801</v>
      </c>
      <c r="F37" s="69">
        <f t="shared" si="9"/>
        <v>1695</v>
      </c>
      <c r="G37" s="69">
        <f t="shared" si="9"/>
        <v>2544</v>
      </c>
      <c r="H37" s="69">
        <f t="shared" si="9"/>
        <v>562</v>
      </c>
      <c r="I37" s="56">
        <f t="shared" si="24"/>
        <v>0</v>
      </c>
      <c r="J37" s="69">
        <f t="shared" si="2"/>
        <v>0</v>
      </c>
      <c r="K37" s="70">
        <f t="shared" si="11"/>
        <v>0</v>
      </c>
      <c r="L37" s="69"/>
      <c r="M37" s="69"/>
      <c r="N37" s="69"/>
      <c r="O37" s="56">
        <v>2</v>
      </c>
      <c r="P37" s="69">
        <f t="shared" si="3"/>
        <v>19.966666666666665</v>
      </c>
      <c r="Q37" s="70">
        <f t="shared" si="12"/>
        <v>1198</v>
      </c>
      <c r="R37" s="69">
        <f>424-1</f>
        <v>423</v>
      </c>
      <c r="S37" s="69">
        <v>636</v>
      </c>
      <c r="T37" s="69">
        <f>141-2</f>
        <v>139</v>
      </c>
      <c r="U37" s="56">
        <v>2</v>
      </c>
      <c r="V37" s="69">
        <f t="shared" si="4"/>
        <v>20.016666666666666</v>
      </c>
      <c r="W37" s="70">
        <f t="shared" si="13"/>
        <v>1201</v>
      </c>
      <c r="X37" s="69">
        <v>424</v>
      </c>
      <c r="Y37" s="69">
        <v>636</v>
      </c>
      <c r="Z37" s="69">
        <v>141</v>
      </c>
      <c r="AA37" s="56">
        <v>2</v>
      </c>
      <c r="AB37" s="69">
        <f t="shared" si="5"/>
        <v>20.016666666666666</v>
      </c>
      <c r="AC37" s="70">
        <f t="shared" si="15"/>
        <v>1201</v>
      </c>
      <c r="AD37" s="69">
        <v>424</v>
      </c>
      <c r="AE37" s="69">
        <v>636</v>
      </c>
      <c r="AF37" s="69">
        <v>141</v>
      </c>
      <c r="AG37" s="56">
        <v>2</v>
      </c>
      <c r="AH37" s="69">
        <f t="shared" si="6"/>
        <v>20.016666666666666</v>
      </c>
      <c r="AI37" s="70">
        <f t="shared" si="16"/>
        <v>1201</v>
      </c>
      <c r="AJ37" s="69">
        <v>424</v>
      </c>
      <c r="AK37" s="69">
        <v>636</v>
      </c>
      <c r="AL37" s="69">
        <v>141</v>
      </c>
    </row>
    <row r="38" spans="1:38" x14ac:dyDescent="0.25">
      <c r="A38" s="56">
        <f t="shared" si="19"/>
        <v>29</v>
      </c>
      <c r="B38" s="68" t="s">
        <v>97</v>
      </c>
      <c r="C38" s="56">
        <f t="shared" si="7"/>
        <v>5</v>
      </c>
      <c r="D38" s="69">
        <f t="shared" si="7"/>
        <v>33.333333333333336</v>
      </c>
      <c r="E38" s="69">
        <f t="shared" si="8"/>
        <v>2000</v>
      </c>
      <c r="F38" s="69">
        <f t="shared" si="9"/>
        <v>0</v>
      </c>
      <c r="G38" s="69">
        <f t="shared" si="9"/>
        <v>2000</v>
      </c>
      <c r="H38" s="69">
        <f t="shared" si="9"/>
        <v>0</v>
      </c>
      <c r="I38" s="56">
        <v>1</v>
      </c>
      <c r="J38" s="69">
        <f t="shared" si="2"/>
        <v>6.666666666666667</v>
      </c>
      <c r="K38" s="70">
        <f t="shared" si="11"/>
        <v>400</v>
      </c>
      <c r="L38" s="69"/>
      <c r="M38" s="69">
        <v>400</v>
      </c>
      <c r="N38" s="69"/>
      <c r="O38" s="56">
        <v>1</v>
      </c>
      <c r="P38" s="69">
        <f t="shared" si="3"/>
        <v>6.666666666666667</v>
      </c>
      <c r="Q38" s="70">
        <f t="shared" si="12"/>
        <v>400</v>
      </c>
      <c r="R38" s="69"/>
      <c r="S38" s="69">
        <v>400</v>
      </c>
      <c r="T38" s="69"/>
      <c r="U38" s="56">
        <v>1</v>
      </c>
      <c r="V38" s="69">
        <f t="shared" si="4"/>
        <v>6.666666666666667</v>
      </c>
      <c r="W38" s="70">
        <f t="shared" si="13"/>
        <v>400</v>
      </c>
      <c r="X38" s="69"/>
      <c r="Y38" s="69">
        <v>400</v>
      </c>
      <c r="Z38" s="69"/>
      <c r="AA38" s="56">
        <v>1</v>
      </c>
      <c r="AB38" s="69">
        <f t="shared" si="5"/>
        <v>6.666666666666667</v>
      </c>
      <c r="AC38" s="70">
        <f t="shared" si="15"/>
        <v>400</v>
      </c>
      <c r="AD38" s="69"/>
      <c r="AE38" s="69">
        <v>400</v>
      </c>
      <c r="AF38" s="69"/>
      <c r="AG38" s="56">
        <v>1</v>
      </c>
      <c r="AH38" s="69">
        <f t="shared" si="6"/>
        <v>6.666666666666667</v>
      </c>
      <c r="AI38" s="70">
        <f t="shared" si="16"/>
        <v>400</v>
      </c>
      <c r="AJ38" s="69"/>
      <c r="AK38" s="69">
        <v>400</v>
      </c>
      <c r="AL38" s="69"/>
    </row>
    <row r="39" spans="1:38" x14ac:dyDescent="0.25">
      <c r="A39" s="56">
        <f t="shared" si="19"/>
        <v>30</v>
      </c>
      <c r="B39" s="68" t="s">
        <v>94</v>
      </c>
      <c r="C39" s="56">
        <f t="shared" si="7"/>
        <v>10</v>
      </c>
      <c r="D39" s="69">
        <f t="shared" si="7"/>
        <v>102.01666666666668</v>
      </c>
      <c r="E39" s="69">
        <f t="shared" si="8"/>
        <v>6121</v>
      </c>
      <c r="F39" s="69">
        <f t="shared" si="9"/>
        <v>2923</v>
      </c>
      <c r="G39" s="69">
        <f t="shared" si="9"/>
        <v>2550</v>
      </c>
      <c r="H39" s="69">
        <f t="shared" si="9"/>
        <v>648</v>
      </c>
      <c r="I39" s="56">
        <v>2</v>
      </c>
      <c r="J39" s="69">
        <f t="shared" si="2"/>
        <v>20.350000000000001</v>
      </c>
      <c r="K39" s="70">
        <f t="shared" si="11"/>
        <v>1221</v>
      </c>
      <c r="L39" s="69">
        <f>585-2</f>
        <v>583</v>
      </c>
      <c r="M39" s="69">
        <v>510</v>
      </c>
      <c r="N39" s="69">
        <f>130-2</f>
        <v>128</v>
      </c>
      <c r="O39" s="56">
        <v>2</v>
      </c>
      <c r="P39" s="69">
        <f t="shared" si="3"/>
        <v>20.416666666666668</v>
      </c>
      <c r="Q39" s="70">
        <f t="shared" si="12"/>
        <v>1225</v>
      </c>
      <c r="R39" s="69">
        <v>585</v>
      </c>
      <c r="S39" s="69">
        <v>510</v>
      </c>
      <c r="T39" s="69">
        <v>130</v>
      </c>
      <c r="U39" s="56">
        <v>2</v>
      </c>
      <c r="V39" s="69">
        <f t="shared" si="4"/>
        <v>20.416666666666668</v>
      </c>
      <c r="W39" s="70">
        <f t="shared" si="13"/>
        <v>1225</v>
      </c>
      <c r="X39" s="69">
        <v>585</v>
      </c>
      <c r="Y39" s="69">
        <v>510</v>
      </c>
      <c r="Z39" s="69">
        <v>130</v>
      </c>
      <c r="AA39" s="56">
        <v>2</v>
      </c>
      <c r="AB39" s="69">
        <f t="shared" si="5"/>
        <v>20.416666666666668</v>
      </c>
      <c r="AC39" s="70">
        <f t="shared" si="15"/>
        <v>1225</v>
      </c>
      <c r="AD39" s="69">
        <v>585</v>
      </c>
      <c r="AE39" s="69">
        <v>510</v>
      </c>
      <c r="AF39" s="69">
        <v>130</v>
      </c>
      <c r="AG39" s="56">
        <v>2</v>
      </c>
      <c r="AH39" s="69">
        <f t="shared" si="6"/>
        <v>20.416666666666668</v>
      </c>
      <c r="AI39" s="70">
        <f t="shared" si="16"/>
        <v>1225</v>
      </c>
      <c r="AJ39" s="69">
        <v>585</v>
      </c>
      <c r="AK39" s="69">
        <v>510</v>
      </c>
      <c r="AL39" s="69">
        <v>130</v>
      </c>
    </row>
    <row r="40" spans="1:38" x14ac:dyDescent="0.25">
      <c r="A40" s="56">
        <f t="shared" si="19"/>
        <v>31</v>
      </c>
      <c r="B40" s="68" t="s">
        <v>91</v>
      </c>
      <c r="C40" s="56">
        <f t="shared" si="7"/>
        <v>5</v>
      </c>
      <c r="D40" s="69">
        <f t="shared" si="7"/>
        <v>41.65</v>
      </c>
      <c r="E40" s="69">
        <f t="shared" si="8"/>
        <v>2499</v>
      </c>
      <c r="F40" s="69">
        <f t="shared" si="9"/>
        <v>129</v>
      </c>
      <c r="G40" s="69">
        <f t="shared" si="9"/>
        <v>2230</v>
      </c>
      <c r="H40" s="69">
        <f t="shared" si="9"/>
        <v>140</v>
      </c>
      <c r="I40" s="56">
        <v>1</v>
      </c>
      <c r="J40" s="69">
        <f t="shared" si="2"/>
        <v>10.050000000000001</v>
      </c>
      <c r="K40" s="70">
        <f t="shared" si="11"/>
        <v>603</v>
      </c>
      <c r="L40" s="69">
        <v>129</v>
      </c>
      <c r="M40" s="69">
        <v>446</v>
      </c>
      <c r="N40" s="69">
        <v>28</v>
      </c>
      <c r="O40" s="56">
        <v>1</v>
      </c>
      <c r="P40" s="69">
        <f t="shared" si="3"/>
        <v>7.9</v>
      </c>
      <c r="Q40" s="70">
        <f t="shared" si="12"/>
        <v>474</v>
      </c>
      <c r="R40" s="69"/>
      <c r="S40" s="69">
        <v>446</v>
      </c>
      <c r="T40" s="69">
        <v>28</v>
      </c>
      <c r="U40" s="56">
        <v>1</v>
      </c>
      <c r="V40" s="69">
        <f t="shared" si="4"/>
        <v>7.9</v>
      </c>
      <c r="W40" s="70">
        <f t="shared" si="13"/>
        <v>474</v>
      </c>
      <c r="X40" s="69"/>
      <c r="Y40" s="69">
        <v>446</v>
      </c>
      <c r="Z40" s="69">
        <v>28</v>
      </c>
      <c r="AA40" s="56">
        <v>1</v>
      </c>
      <c r="AB40" s="69">
        <f t="shared" si="5"/>
        <v>7.9</v>
      </c>
      <c r="AC40" s="70">
        <f t="shared" si="15"/>
        <v>474</v>
      </c>
      <c r="AD40" s="69"/>
      <c r="AE40" s="69">
        <v>446</v>
      </c>
      <c r="AF40" s="69">
        <v>28</v>
      </c>
      <c r="AG40" s="56">
        <v>1</v>
      </c>
      <c r="AH40" s="69">
        <f t="shared" si="6"/>
        <v>7.9</v>
      </c>
      <c r="AI40" s="70">
        <f t="shared" si="16"/>
        <v>474</v>
      </c>
      <c r="AJ40" s="69"/>
      <c r="AK40" s="69">
        <v>446</v>
      </c>
      <c r="AL40" s="69">
        <v>28</v>
      </c>
    </row>
    <row r="41" spans="1:38" x14ac:dyDescent="0.25">
      <c r="A41" s="56">
        <f t="shared" si="19"/>
        <v>32</v>
      </c>
      <c r="B41" s="68" t="s">
        <v>92</v>
      </c>
      <c r="C41" s="56">
        <f t="shared" si="7"/>
        <v>1</v>
      </c>
      <c r="D41" s="69">
        <f t="shared" si="7"/>
        <v>8.3333333333333339</v>
      </c>
      <c r="E41" s="69">
        <f t="shared" si="8"/>
        <v>500</v>
      </c>
      <c r="F41" s="69">
        <f t="shared" si="9"/>
        <v>0</v>
      </c>
      <c r="G41" s="69">
        <f t="shared" si="9"/>
        <v>0</v>
      </c>
      <c r="H41" s="69">
        <f t="shared" si="9"/>
        <v>500</v>
      </c>
      <c r="I41" s="56">
        <f t="shared" si="10"/>
        <v>0</v>
      </c>
      <c r="J41" s="69">
        <f t="shared" si="2"/>
        <v>0</v>
      </c>
      <c r="K41" s="70">
        <f t="shared" si="11"/>
        <v>0</v>
      </c>
      <c r="L41" s="69"/>
      <c r="M41" s="69"/>
      <c r="N41" s="69"/>
      <c r="O41" s="56">
        <v>1</v>
      </c>
      <c r="P41" s="69">
        <f t="shared" si="3"/>
        <v>8.3333333333333339</v>
      </c>
      <c r="Q41" s="70">
        <f t="shared" si="12"/>
        <v>500</v>
      </c>
      <c r="R41" s="69"/>
      <c r="S41" s="69"/>
      <c r="T41" s="69">
        <v>500</v>
      </c>
      <c r="U41" s="56">
        <f t="shared" si="23"/>
        <v>0</v>
      </c>
      <c r="V41" s="69">
        <f t="shared" si="4"/>
        <v>0</v>
      </c>
      <c r="W41" s="70">
        <f t="shared" si="13"/>
        <v>0</v>
      </c>
      <c r="X41" s="69"/>
      <c r="Y41" s="69"/>
      <c r="Z41" s="69"/>
      <c r="AA41" s="56">
        <f t="shared" si="14"/>
        <v>0</v>
      </c>
      <c r="AB41" s="69">
        <f t="shared" si="5"/>
        <v>0</v>
      </c>
      <c r="AC41" s="70">
        <f t="shared" si="15"/>
        <v>0</v>
      </c>
      <c r="AD41" s="69"/>
      <c r="AE41" s="69"/>
      <c r="AF41" s="69"/>
      <c r="AG41" s="56">
        <f t="shared" si="18"/>
        <v>0</v>
      </c>
      <c r="AH41" s="69">
        <f t="shared" si="6"/>
        <v>0</v>
      </c>
      <c r="AI41" s="70">
        <f t="shared" si="16"/>
        <v>0</v>
      </c>
      <c r="AJ41" s="69"/>
      <c r="AK41" s="69"/>
      <c r="AL41" s="69"/>
    </row>
    <row r="42" spans="1:38" x14ac:dyDescent="0.25">
      <c r="A42" s="56">
        <f t="shared" si="19"/>
        <v>33</v>
      </c>
      <c r="B42" s="68" t="s">
        <v>96</v>
      </c>
      <c r="C42" s="56">
        <f t="shared" ref="C42:D51" si="29">I42+O42+U42+AA42+AG42</f>
        <v>8</v>
      </c>
      <c r="D42" s="69">
        <f t="shared" si="29"/>
        <v>99.199999999999989</v>
      </c>
      <c r="E42" s="69">
        <f t="shared" si="8"/>
        <v>5952</v>
      </c>
      <c r="F42" s="69">
        <f t="shared" ref="F42:H51" si="30">L42+R42+X42+AD42+AJ42</f>
        <v>2143</v>
      </c>
      <c r="G42" s="69">
        <f t="shared" si="30"/>
        <v>2703</v>
      </c>
      <c r="H42" s="69">
        <f t="shared" si="30"/>
        <v>1106</v>
      </c>
      <c r="I42" s="56">
        <f t="shared" si="10"/>
        <v>0</v>
      </c>
      <c r="J42" s="69">
        <f t="shared" si="2"/>
        <v>0</v>
      </c>
      <c r="K42" s="70">
        <f t="shared" si="11"/>
        <v>0</v>
      </c>
      <c r="L42" s="69"/>
      <c r="M42" s="69"/>
      <c r="N42" s="69"/>
      <c r="O42" s="56">
        <v>2</v>
      </c>
      <c r="P42" s="69">
        <f t="shared" si="3"/>
        <v>24.75</v>
      </c>
      <c r="Q42" s="70">
        <f t="shared" si="12"/>
        <v>1485</v>
      </c>
      <c r="R42" s="69">
        <f>536-1</f>
        <v>535</v>
      </c>
      <c r="S42" s="69">
        <f>676-1</f>
        <v>675</v>
      </c>
      <c r="T42" s="69">
        <f>277-2</f>
        <v>275</v>
      </c>
      <c r="U42" s="56">
        <v>2</v>
      </c>
      <c r="V42" s="69">
        <f t="shared" si="4"/>
        <v>24.816666666666666</v>
      </c>
      <c r="W42" s="70">
        <f t="shared" si="13"/>
        <v>1489</v>
      </c>
      <c r="X42" s="69">
        <v>536</v>
      </c>
      <c r="Y42" s="69">
        <v>676</v>
      </c>
      <c r="Z42" s="69">
        <v>277</v>
      </c>
      <c r="AA42" s="56">
        <v>2</v>
      </c>
      <c r="AB42" s="69">
        <f t="shared" si="5"/>
        <v>24.816666666666666</v>
      </c>
      <c r="AC42" s="70">
        <f t="shared" si="15"/>
        <v>1489</v>
      </c>
      <c r="AD42" s="69">
        <v>536</v>
      </c>
      <c r="AE42" s="69">
        <v>676</v>
      </c>
      <c r="AF42" s="69">
        <v>277</v>
      </c>
      <c r="AG42" s="56">
        <v>2</v>
      </c>
      <c r="AH42" s="69">
        <f t="shared" si="6"/>
        <v>24.816666666666666</v>
      </c>
      <c r="AI42" s="70">
        <f t="shared" si="16"/>
        <v>1489</v>
      </c>
      <c r="AJ42" s="69">
        <v>536</v>
      </c>
      <c r="AK42" s="69">
        <v>676</v>
      </c>
      <c r="AL42" s="69">
        <v>277</v>
      </c>
    </row>
    <row r="43" spans="1:38" x14ac:dyDescent="0.25">
      <c r="A43" s="56">
        <f t="shared" si="19"/>
        <v>34</v>
      </c>
      <c r="B43" s="68" t="s">
        <v>99</v>
      </c>
      <c r="C43" s="56">
        <f t="shared" si="29"/>
        <v>5</v>
      </c>
      <c r="D43" s="69">
        <f t="shared" si="29"/>
        <v>66.666666666666671</v>
      </c>
      <c r="E43" s="69">
        <f t="shared" si="8"/>
        <v>4000</v>
      </c>
      <c r="F43" s="69">
        <f t="shared" si="30"/>
        <v>1600</v>
      </c>
      <c r="G43" s="69">
        <f t="shared" si="30"/>
        <v>2200</v>
      </c>
      <c r="H43" s="69">
        <f t="shared" si="30"/>
        <v>200</v>
      </c>
      <c r="I43" s="56">
        <v>1</v>
      </c>
      <c r="J43" s="69">
        <f t="shared" si="2"/>
        <v>13.333333333333334</v>
      </c>
      <c r="K43" s="70">
        <f t="shared" si="11"/>
        <v>800</v>
      </c>
      <c r="L43" s="69">
        <v>320</v>
      </c>
      <c r="M43" s="69">
        <v>440</v>
      </c>
      <c r="N43" s="69">
        <v>40</v>
      </c>
      <c r="O43" s="56">
        <v>1</v>
      </c>
      <c r="P43" s="69">
        <f t="shared" si="3"/>
        <v>13.333333333333334</v>
      </c>
      <c r="Q43" s="70">
        <f t="shared" si="12"/>
        <v>800</v>
      </c>
      <c r="R43" s="69">
        <v>320</v>
      </c>
      <c r="S43" s="69">
        <v>440</v>
      </c>
      <c r="T43" s="69">
        <v>40</v>
      </c>
      <c r="U43" s="56">
        <v>1</v>
      </c>
      <c r="V43" s="69">
        <f t="shared" si="4"/>
        <v>13.333333333333334</v>
      </c>
      <c r="W43" s="70">
        <f t="shared" si="13"/>
        <v>800</v>
      </c>
      <c r="X43" s="69">
        <v>320</v>
      </c>
      <c r="Y43" s="69">
        <v>440</v>
      </c>
      <c r="Z43" s="69">
        <v>40</v>
      </c>
      <c r="AA43" s="56">
        <v>1</v>
      </c>
      <c r="AB43" s="69">
        <f t="shared" si="5"/>
        <v>13.333333333333334</v>
      </c>
      <c r="AC43" s="70">
        <f t="shared" si="15"/>
        <v>800</v>
      </c>
      <c r="AD43" s="69">
        <v>320</v>
      </c>
      <c r="AE43" s="69">
        <v>440</v>
      </c>
      <c r="AF43" s="69">
        <v>40</v>
      </c>
      <c r="AG43" s="56">
        <v>1</v>
      </c>
      <c r="AH43" s="69">
        <f t="shared" si="6"/>
        <v>13.333333333333334</v>
      </c>
      <c r="AI43" s="70">
        <f t="shared" si="16"/>
        <v>800</v>
      </c>
      <c r="AJ43" s="69">
        <v>320</v>
      </c>
      <c r="AK43" s="69">
        <v>440</v>
      </c>
      <c r="AL43" s="69">
        <v>40</v>
      </c>
    </row>
    <row r="44" spans="1:38" x14ac:dyDescent="0.25">
      <c r="A44" s="56">
        <f t="shared" si="19"/>
        <v>35</v>
      </c>
      <c r="B44" s="68" t="s">
        <v>101</v>
      </c>
      <c r="C44" s="56">
        <f t="shared" si="29"/>
        <v>5</v>
      </c>
      <c r="D44" s="69">
        <f t="shared" si="29"/>
        <v>16.666666666666668</v>
      </c>
      <c r="E44" s="69">
        <f t="shared" si="8"/>
        <v>1000</v>
      </c>
      <c r="F44" s="69">
        <f t="shared" si="30"/>
        <v>300</v>
      </c>
      <c r="G44" s="69">
        <f t="shared" si="30"/>
        <v>700</v>
      </c>
      <c r="H44" s="69">
        <f t="shared" si="30"/>
        <v>0</v>
      </c>
      <c r="I44" s="56">
        <v>1</v>
      </c>
      <c r="J44" s="69">
        <f t="shared" si="2"/>
        <v>3.3333333333333335</v>
      </c>
      <c r="K44" s="70">
        <f t="shared" si="11"/>
        <v>200</v>
      </c>
      <c r="L44" s="69">
        <v>60</v>
      </c>
      <c r="M44" s="69">
        <v>140</v>
      </c>
      <c r="N44" s="69"/>
      <c r="O44" s="56">
        <v>1</v>
      </c>
      <c r="P44" s="69">
        <f t="shared" si="3"/>
        <v>3.3333333333333335</v>
      </c>
      <c r="Q44" s="70">
        <f t="shared" si="12"/>
        <v>200</v>
      </c>
      <c r="R44" s="69">
        <v>60</v>
      </c>
      <c r="S44" s="69">
        <v>140</v>
      </c>
      <c r="T44" s="69"/>
      <c r="U44" s="56">
        <v>1</v>
      </c>
      <c r="V44" s="69">
        <f t="shared" si="4"/>
        <v>3.3333333333333335</v>
      </c>
      <c r="W44" s="70">
        <f t="shared" si="13"/>
        <v>200</v>
      </c>
      <c r="X44" s="69">
        <v>60</v>
      </c>
      <c r="Y44" s="69">
        <v>140</v>
      </c>
      <c r="Z44" s="69"/>
      <c r="AA44" s="56">
        <v>1</v>
      </c>
      <c r="AB44" s="69">
        <f t="shared" si="5"/>
        <v>3.3333333333333335</v>
      </c>
      <c r="AC44" s="70">
        <f t="shared" si="15"/>
        <v>200</v>
      </c>
      <c r="AD44" s="69">
        <v>60</v>
      </c>
      <c r="AE44" s="69">
        <v>140</v>
      </c>
      <c r="AF44" s="69"/>
      <c r="AG44" s="56">
        <v>1</v>
      </c>
      <c r="AH44" s="69">
        <f t="shared" si="6"/>
        <v>3.3333333333333335</v>
      </c>
      <c r="AI44" s="70">
        <f t="shared" si="16"/>
        <v>200</v>
      </c>
      <c r="AJ44" s="69">
        <v>60</v>
      </c>
      <c r="AK44" s="69">
        <v>140</v>
      </c>
      <c r="AL44" s="69"/>
    </row>
    <row r="45" spans="1:38" ht="25.5" x14ac:dyDescent="0.25">
      <c r="A45" s="56">
        <f t="shared" si="19"/>
        <v>36</v>
      </c>
      <c r="B45" s="68" t="s">
        <v>159</v>
      </c>
      <c r="C45" s="56">
        <f t="shared" si="29"/>
        <v>4</v>
      </c>
      <c r="D45" s="69">
        <f t="shared" si="29"/>
        <v>14.183333333333334</v>
      </c>
      <c r="E45" s="69">
        <f t="shared" si="8"/>
        <v>851</v>
      </c>
      <c r="F45" s="69">
        <f t="shared" si="30"/>
        <v>0</v>
      </c>
      <c r="G45" s="69">
        <f t="shared" si="30"/>
        <v>776</v>
      </c>
      <c r="H45" s="69">
        <f t="shared" si="30"/>
        <v>75</v>
      </c>
      <c r="I45" s="56">
        <f t="shared" si="10"/>
        <v>0</v>
      </c>
      <c r="J45" s="69">
        <f t="shared" si="2"/>
        <v>0</v>
      </c>
      <c r="K45" s="70">
        <f t="shared" si="11"/>
        <v>0</v>
      </c>
      <c r="L45" s="69"/>
      <c r="M45" s="69"/>
      <c r="N45" s="69"/>
      <c r="O45" s="56">
        <v>1</v>
      </c>
      <c r="P45" s="69">
        <f t="shared" si="3"/>
        <v>3.5333333333333332</v>
      </c>
      <c r="Q45" s="70">
        <f t="shared" si="12"/>
        <v>212</v>
      </c>
      <c r="R45" s="69"/>
      <c r="S45" s="69">
        <v>194</v>
      </c>
      <c r="T45" s="69">
        <f>19-1</f>
        <v>18</v>
      </c>
      <c r="U45" s="56">
        <v>1</v>
      </c>
      <c r="V45" s="69">
        <f t="shared" si="4"/>
        <v>3.55</v>
      </c>
      <c r="W45" s="70">
        <f t="shared" si="13"/>
        <v>213</v>
      </c>
      <c r="X45" s="69"/>
      <c r="Y45" s="69">
        <v>194</v>
      </c>
      <c r="Z45" s="69">
        <v>19</v>
      </c>
      <c r="AA45" s="56">
        <v>1</v>
      </c>
      <c r="AB45" s="69">
        <f t="shared" si="5"/>
        <v>3.55</v>
      </c>
      <c r="AC45" s="70">
        <f t="shared" si="15"/>
        <v>213</v>
      </c>
      <c r="AD45" s="69"/>
      <c r="AE45" s="69">
        <v>194</v>
      </c>
      <c r="AF45" s="69">
        <v>19</v>
      </c>
      <c r="AG45" s="56">
        <v>1</v>
      </c>
      <c r="AH45" s="69">
        <f t="shared" si="6"/>
        <v>3.55</v>
      </c>
      <c r="AI45" s="70">
        <f t="shared" si="16"/>
        <v>213</v>
      </c>
      <c r="AJ45" s="69"/>
      <c r="AK45" s="69">
        <v>194</v>
      </c>
      <c r="AL45" s="69">
        <v>19</v>
      </c>
    </row>
    <row r="46" spans="1:38" ht="25.5" x14ac:dyDescent="0.25">
      <c r="A46" s="56">
        <f t="shared" si="19"/>
        <v>37</v>
      </c>
      <c r="B46" s="68" t="s">
        <v>160</v>
      </c>
      <c r="C46" s="56">
        <f t="shared" si="29"/>
        <v>5</v>
      </c>
      <c r="D46" s="69">
        <f t="shared" si="29"/>
        <v>66.11666666666666</v>
      </c>
      <c r="E46" s="69">
        <f t="shared" si="8"/>
        <v>3967</v>
      </c>
      <c r="F46" s="69">
        <f t="shared" si="30"/>
        <v>0</v>
      </c>
      <c r="G46" s="69">
        <f t="shared" si="30"/>
        <v>3423</v>
      </c>
      <c r="H46" s="69">
        <f t="shared" si="30"/>
        <v>544</v>
      </c>
      <c r="I46" s="56">
        <v>1</v>
      </c>
      <c r="J46" s="69">
        <f t="shared" si="2"/>
        <v>13.183333333333334</v>
      </c>
      <c r="K46" s="70">
        <f t="shared" si="11"/>
        <v>791</v>
      </c>
      <c r="L46" s="69"/>
      <c r="M46" s="69">
        <f>685-2</f>
        <v>683</v>
      </c>
      <c r="N46" s="69">
        <f>109-1</f>
        <v>108</v>
      </c>
      <c r="O46" s="56">
        <v>1</v>
      </c>
      <c r="P46" s="69">
        <f t="shared" si="3"/>
        <v>13.233333333333333</v>
      </c>
      <c r="Q46" s="70">
        <f t="shared" si="12"/>
        <v>794</v>
      </c>
      <c r="R46" s="69"/>
      <c r="S46" s="69">
        <v>685</v>
      </c>
      <c r="T46" s="69">
        <v>109</v>
      </c>
      <c r="U46" s="56">
        <v>1</v>
      </c>
      <c r="V46" s="69">
        <f t="shared" si="4"/>
        <v>13.233333333333333</v>
      </c>
      <c r="W46" s="70">
        <f t="shared" si="13"/>
        <v>794</v>
      </c>
      <c r="X46" s="69"/>
      <c r="Y46" s="69">
        <v>685</v>
      </c>
      <c r="Z46" s="69">
        <v>109</v>
      </c>
      <c r="AA46" s="56">
        <v>1</v>
      </c>
      <c r="AB46" s="69">
        <f t="shared" si="5"/>
        <v>13.233333333333333</v>
      </c>
      <c r="AC46" s="70">
        <f t="shared" si="15"/>
        <v>794</v>
      </c>
      <c r="AD46" s="69"/>
      <c r="AE46" s="69">
        <v>685</v>
      </c>
      <c r="AF46" s="69">
        <v>109</v>
      </c>
      <c r="AG46" s="56">
        <v>1</v>
      </c>
      <c r="AH46" s="69">
        <f t="shared" si="6"/>
        <v>13.233333333333333</v>
      </c>
      <c r="AI46" s="70">
        <f t="shared" si="16"/>
        <v>794</v>
      </c>
      <c r="AJ46" s="69"/>
      <c r="AK46" s="69">
        <v>685</v>
      </c>
      <c r="AL46" s="69">
        <v>109</v>
      </c>
    </row>
    <row r="47" spans="1:38" ht="25.5" x14ac:dyDescent="0.25">
      <c r="A47" s="56">
        <f t="shared" si="19"/>
        <v>38</v>
      </c>
      <c r="B47" s="68" t="s">
        <v>161</v>
      </c>
      <c r="C47" s="56">
        <f t="shared" si="29"/>
        <v>5</v>
      </c>
      <c r="D47" s="69">
        <f t="shared" si="29"/>
        <v>19.783333333333331</v>
      </c>
      <c r="E47" s="69">
        <f t="shared" si="8"/>
        <v>1187</v>
      </c>
      <c r="F47" s="69">
        <f t="shared" si="30"/>
        <v>0</v>
      </c>
      <c r="G47" s="69">
        <f t="shared" si="30"/>
        <v>1009</v>
      </c>
      <c r="H47" s="69">
        <f t="shared" si="30"/>
        <v>178</v>
      </c>
      <c r="I47" s="56">
        <v>1</v>
      </c>
      <c r="J47" s="69">
        <f t="shared" si="2"/>
        <v>3.9166666666666665</v>
      </c>
      <c r="K47" s="70">
        <f t="shared" si="11"/>
        <v>235</v>
      </c>
      <c r="L47" s="69"/>
      <c r="M47" s="69">
        <f>202-1</f>
        <v>201</v>
      </c>
      <c r="N47" s="69">
        <f>36-2</f>
        <v>34</v>
      </c>
      <c r="O47" s="56">
        <v>1</v>
      </c>
      <c r="P47" s="69">
        <f t="shared" si="3"/>
        <v>3.9666666666666668</v>
      </c>
      <c r="Q47" s="70">
        <f t="shared" si="12"/>
        <v>238</v>
      </c>
      <c r="R47" s="69"/>
      <c r="S47" s="69">
        <v>202</v>
      </c>
      <c r="T47" s="69">
        <v>36</v>
      </c>
      <c r="U47" s="56">
        <v>1</v>
      </c>
      <c r="V47" s="69">
        <f t="shared" si="4"/>
        <v>3.9666666666666668</v>
      </c>
      <c r="W47" s="70">
        <f t="shared" si="13"/>
        <v>238</v>
      </c>
      <c r="X47" s="69"/>
      <c r="Y47" s="69">
        <v>202</v>
      </c>
      <c r="Z47" s="69">
        <v>36</v>
      </c>
      <c r="AA47" s="56">
        <v>1</v>
      </c>
      <c r="AB47" s="69">
        <f t="shared" si="5"/>
        <v>3.9666666666666668</v>
      </c>
      <c r="AC47" s="70">
        <f t="shared" si="15"/>
        <v>238</v>
      </c>
      <c r="AD47" s="69"/>
      <c r="AE47" s="69">
        <v>202</v>
      </c>
      <c r="AF47" s="69">
        <v>36</v>
      </c>
      <c r="AG47" s="56">
        <v>1</v>
      </c>
      <c r="AH47" s="69">
        <f t="shared" si="6"/>
        <v>3.9666666666666668</v>
      </c>
      <c r="AI47" s="70">
        <f t="shared" si="16"/>
        <v>238</v>
      </c>
      <c r="AJ47" s="69"/>
      <c r="AK47" s="69">
        <v>202</v>
      </c>
      <c r="AL47" s="69">
        <v>36</v>
      </c>
    </row>
    <row r="48" spans="1:38" ht="25.5" x14ac:dyDescent="0.25">
      <c r="A48" s="56">
        <f t="shared" si="19"/>
        <v>39</v>
      </c>
      <c r="B48" s="68" t="s">
        <v>106</v>
      </c>
      <c r="C48" s="56">
        <f t="shared" si="29"/>
        <v>2</v>
      </c>
      <c r="D48" s="69">
        <f t="shared" si="29"/>
        <v>10.45</v>
      </c>
      <c r="E48" s="69">
        <f t="shared" si="8"/>
        <v>627</v>
      </c>
      <c r="F48" s="69">
        <f t="shared" si="30"/>
        <v>0</v>
      </c>
      <c r="G48" s="69">
        <f t="shared" si="30"/>
        <v>550</v>
      </c>
      <c r="H48" s="69">
        <f t="shared" si="30"/>
        <v>77</v>
      </c>
      <c r="I48" s="56">
        <f t="shared" si="10"/>
        <v>0</v>
      </c>
      <c r="J48" s="69">
        <f t="shared" si="2"/>
        <v>0</v>
      </c>
      <c r="K48" s="70">
        <f t="shared" si="11"/>
        <v>0</v>
      </c>
      <c r="L48" s="69"/>
      <c r="M48" s="69"/>
      <c r="N48" s="69"/>
      <c r="O48" s="56">
        <f t="shared" ref="O48:O51" si="31">Q48/1000</f>
        <v>0</v>
      </c>
      <c r="P48" s="69">
        <f t="shared" si="3"/>
        <v>0</v>
      </c>
      <c r="Q48" s="70">
        <f t="shared" si="12"/>
        <v>0</v>
      </c>
      <c r="R48" s="69"/>
      <c r="S48" s="69"/>
      <c r="T48" s="69"/>
      <c r="U48" s="56">
        <v>1</v>
      </c>
      <c r="V48" s="69">
        <f t="shared" si="4"/>
        <v>5.8666666666666663</v>
      </c>
      <c r="W48" s="70">
        <f t="shared" si="13"/>
        <v>352</v>
      </c>
      <c r="X48" s="69"/>
      <c r="Y48" s="69">
        <v>309</v>
      </c>
      <c r="Z48" s="69">
        <v>43</v>
      </c>
      <c r="AA48" s="56">
        <v>1</v>
      </c>
      <c r="AB48" s="69">
        <f t="shared" si="5"/>
        <v>4.583333333333333</v>
      </c>
      <c r="AC48" s="70">
        <f t="shared" si="15"/>
        <v>275</v>
      </c>
      <c r="AD48" s="69"/>
      <c r="AE48" s="69">
        <v>241</v>
      </c>
      <c r="AF48" s="69">
        <v>34</v>
      </c>
      <c r="AG48" s="56">
        <f t="shared" ref="AG48:AG51" si="32">AI48/1000</f>
        <v>0</v>
      </c>
      <c r="AH48" s="69">
        <f t="shared" si="6"/>
        <v>0</v>
      </c>
      <c r="AI48" s="70">
        <f t="shared" si="16"/>
        <v>0</v>
      </c>
      <c r="AJ48" s="69"/>
      <c r="AK48" s="69"/>
      <c r="AL48" s="69"/>
    </row>
    <row r="49" spans="1:38" x14ac:dyDescent="0.25">
      <c r="A49" s="56">
        <f t="shared" si="19"/>
        <v>40</v>
      </c>
      <c r="B49" s="68" t="s">
        <v>105</v>
      </c>
      <c r="C49" s="56">
        <f t="shared" si="29"/>
        <v>2</v>
      </c>
      <c r="D49" s="69">
        <f t="shared" si="29"/>
        <v>16</v>
      </c>
      <c r="E49" s="69">
        <f t="shared" si="8"/>
        <v>960</v>
      </c>
      <c r="F49" s="69">
        <f t="shared" si="30"/>
        <v>0</v>
      </c>
      <c r="G49" s="69">
        <f t="shared" si="30"/>
        <v>960</v>
      </c>
      <c r="H49" s="69">
        <f t="shared" si="30"/>
        <v>0</v>
      </c>
      <c r="I49" s="56">
        <f t="shared" si="10"/>
        <v>0</v>
      </c>
      <c r="J49" s="69">
        <f t="shared" si="2"/>
        <v>0</v>
      </c>
      <c r="K49" s="70">
        <f t="shared" si="11"/>
        <v>0</v>
      </c>
      <c r="L49" s="69"/>
      <c r="M49" s="69"/>
      <c r="N49" s="69"/>
      <c r="O49" s="56">
        <v>1</v>
      </c>
      <c r="P49" s="69">
        <f t="shared" si="3"/>
        <v>8</v>
      </c>
      <c r="Q49" s="70">
        <f t="shared" si="12"/>
        <v>480</v>
      </c>
      <c r="R49" s="69"/>
      <c r="S49" s="69">
        <v>480</v>
      </c>
      <c r="T49" s="69"/>
      <c r="U49" s="56">
        <v>1</v>
      </c>
      <c r="V49" s="69">
        <f t="shared" si="4"/>
        <v>8</v>
      </c>
      <c r="W49" s="70">
        <f t="shared" si="13"/>
        <v>480</v>
      </c>
      <c r="X49" s="69"/>
      <c r="Y49" s="69">
        <v>480</v>
      </c>
      <c r="Z49" s="69"/>
      <c r="AA49" s="56">
        <f t="shared" ref="AA49:AA50" si="33">AC49/1000</f>
        <v>0</v>
      </c>
      <c r="AB49" s="69">
        <f t="shared" si="5"/>
        <v>0</v>
      </c>
      <c r="AC49" s="70">
        <f t="shared" si="15"/>
        <v>0</v>
      </c>
      <c r="AD49" s="69"/>
      <c r="AE49" s="69"/>
      <c r="AF49" s="69"/>
      <c r="AG49" s="56">
        <f t="shared" si="32"/>
        <v>0</v>
      </c>
      <c r="AH49" s="69">
        <f t="shared" si="6"/>
        <v>0</v>
      </c>
      <c r="AI49" s="70">
        <f t="shared" si="16"/>
        <v>0</v>
      </c>
      <c r="AJ49" s="69"/>
      <c r="AK49" s="69"/>
      <c r="AL49" s="69"/>
    </row>
    <row r="50" spans="1:38" ht="25.5" x14ac:dyDescent="0.25">
      <c r="A50" s="56">
        <f t="shared" si="19"/>
        <v>41</v>
      </c>
      <c r="B50" s="68" t="s">
        <v>104</v>
      </c>
      <c r="C50" s="56">
        <f t="shared" si="29"/>
        <v>1</v>
      </c>
      <c r="D50" s="69">
        <f t="shared" si="29"/>
        <v>10.666666666666666</v>
      </c>
      <c r="E50" s="69">
        <f t="shared" si="8"/>
        <v>640</v>
      </c>
      <c r="F50" s="69">
        <f t="shared" si="30"/>
        <v>0</v>
      </c>
      <c r="G50" s="69">
        <f t="shared" si="30"/>
        <v>640</v>
      </c>
      <c r="H50" s="69">
        <f t="shared" si="30"/>
        <v>0</v>
      </c>
      <c r="I50" s="56">
        <f t="shared" si="10"/>
        <v>0</v>
      </c>
      <c r="J50" s="69">
        <f t="shared" si="2"/>
        <v>0</v>
      </c>
      <c r="K50" s="70">
        <f t="shared" si="11"/>
        <v>0</v>
      </c>
      <c r="L50" s="69"/>
      <c r="M50" s="69"/>
      <c r="N50" s="69"/>
      <c r="O50" s="56">
        <v>1</v>
      </c>
      <c r="P50" s="69">
        <f t="shared" si="3"/>
        <v>10.666666666666666</v>
      </c>
      <c r="Q50" s="70">
        <f t="shared" si="12"/>
        <v>640</v>
      </c>
      <c r="R50" s="69"/>
      <c r="S50" s="69">
        <v>640</v>
      </c>
      <c r="T50" s="69"/>
      <c r="U50" s="56">
        <f t="shared" ref="U50" si="34">W50/1000</f>
        <v>0</v>
      </c>
      <c r="V50" s="69">
        <f t="shared" si="4"/>
        <v>0</v>
      </c>
      <c r="W50" s="70">
        <f t="shared" si="13"/>
        <v>0</v>
      </c>
      <c r="X50" s="69"/>
      <c r="Y50" s="69"/>
      <c r="Z50" s="69"/>
      <c r="AA50" s="56">
        <f t="shared" si="33"/>
        <v>0</v>
      </c>
      <c r="AB50" s="69">
        <f t="shared" si="5"/>
        <v>0</v>
      </c>
      <c r="AC50" s="70">
        <f t="shared" si="15"/>
        <v>0</v>
      </c>
      <c r="AD50" s="69"/>
      <c r="AE50" s="69"/>
      <c r="AF50" s="69"/>
      <c r="AG50" s="56">
        <f t="shared" si="32"/>
        <v>0</v>
      </c>
      <c r="AH50" s="69">
        <f t="shared" si="6"/>
        <v>0</v>
      </c>
      <c r="AI50" s="70">
        <f t="shared" si="16"/>
        <v>0</v>
      </c>
      <c r="AJ50" s="69"/>
      <c r="AK50" s="69"/>
      <c r="AL50" s="69"/>
    </row>
    <row r="51" spans="1:38" ht="25.5" x14ac:dyDescent="0.25">
      <c r="A51" s="56">
        <f t="shared" si="19"/>
        <v>42</v>
      </c>
      <c r="B51" s="68" t="s">
        <v>102</v>
      </c>
      <c r="C51" s="56">
        <f t="shared" si="29"/>
        <v>2</v>
      </c>
      <c r="D51" s="69">
        <f t="shared" si="29"/>
        <v>17.266666666666666</v>
      </c>
      <c r="E51" s="69">
        <f t="shared" si="8"/>
        <v>1036</v>
      </c>
      <c r="F51" s="69">
        <f t="shared" si="30"/>
        <v>0</v>
      </c>
      <c r="G51" s="69">
        <f t="shared" si="30"/>
        <v>960</v>
      </c>
      <c r="H51" s="69">
        <f t="shared" si="30"/>
        <v>76</v>
      </c>
      <c r="I51" s="56">
        <f t="shared" si="10"/>
        <v>0</v>
      </c>
      <c r="J51" s="69">
        <f t="shared" si="2"/>
        <v>0</v>
      </c>
      <c r="K51" s="70">
        <f t="shared" si="11"/>
        <v>0</v>
      </c>
      <c r="L51" s="69"/>
      <c r="M51" s="69"/>
      <c r="N51" s="69"/>
      <c r="O51" s="56">
        <f t="shared" si="31"/>
        <v>0</v>
      </c>
      <c r="P51" s="69">
        <f t="shared" si="3"/>
        <v>0</v>
      </c>
      <c r="Q51" s="70">
        <f t="shared" si="12"/>
        <v>0</v>
      </c>
      <c r="R51" s="69"/>
      <c r="S51" s="69"/>
      <c r="T51" s="69"/>
      <c r="U51" s="56">
        <v>1</v>
      </c>
      <c r="V51" s="69">
        <f t="shared" si="4"/>
        <v>8.65</v>
      </c>
      <c r="W51" s="70">
        <f t="shared" si="13"/>
        <v>519</v>
      </c>
      <c r="X51" s="69"/>
      <c r="Y51" s="69">
        <v>480</v>
      </c>
      <c r="Z51" s="69">
        <f>36+3</f>
        <v>39</v>
      </c>
      <c r="AA51" s="56">
        <v>1</v>
      </c>
      <c r="AB51" s="69">
        <f t="shared" si="5"/>
        <v>8.6166666666666671</v>
      </c>
      <c r="AC51" s="70">
        <f t="shared" si="15"/>
        <v>517</v>
      </c>
      <c r="AD51" s="69"/>
      <c r="AE51" s="69">
        <v>480</v>
      </c>
      <c r="AF51" s="69">
        <f>36+1</f>
        <v>37</v>
      </c>
      <c r="AG51" s="56">
        <f t="shared" si="32"/>
        <v>0</v>
      </c>
      <c r="AH51" s="69">
        <f t="shared" si="6"/>
        <v>0</v>
      </c>
      <c r="AI51" s="70">
        <f t="shared" si="16"/>
        <v>0</v>
      </c>
      <c r="AJ51" s="69"/>
      <c r="AK51" s="69"/>
      <c r="AL51" s="69"/>
    </row>
    <row r="52" spans="1:38" x14ac:dyDescent="0.25">
      <c r="A52" s="66" t="s">
        <v>0</v>
      </c>
      <c r="B52" s="72" t="s">
        <v>141</v>
      </c>
      <c r="C52" s="67">
        <f>SUBTOTAL(9,C53:C67)</f>
        <v>60</v>
      </c>
      <c r="D52" s="67">
        <f>SUBTOTAL(9,D53:D67)</f>
        <v>1322</v>
      </c>
      <c r="E52" s="67">
        <f t="shared" ref="E52:G52" si="35">SUBTOTAL(9,E53:E67)</f>
        <v>52210</v>
      </c>
      <c r="F52" s="67">
        <f t="shared" si="35"/>
        <v>46699</v>
      </c>
      <c r="G52" s="67">
        <f t="shared" si="35"/>
        <v>4092</v>
      </c>
      <c r="H52" s="67">
        <f>SUBTOTAL(9,H53:H67)</f>
        <v>1419</v>
      </c>
      <c r="I52" s="67">
        <f t="shared" ref="I52:AL52" si="36">SUBTOTAL(9,I53:I67)</f>
        <v>0</v>
      </c>
      <c r="J52" s="67">
        <f t="shared" si="36"/>
        <v>231</v>
      </c>
      <c r="K52" s="67">
        <f t="shared" si="36"/>
        <v>9903</v>
      </c>
      <c r="L52" s="67">
        <f t="shared" si="36"/>
        <v>8787</v>
      </c>
      <c r="M52" s="67">
        <f t="shared" si="36"/>
        <v>287</v>
      </c>
      <c r="N52" s="67">
        <f t="shared" si="36"/>
        <v>829</v>
      </c>
      <c r="O52" s="67">
        <f t="shared" si="36"/>
        <v>0</v>
      </c>
      <c r="P52" s="67">
        <f t="shared" si="36"/>
        <v>287</v>
      </c>
      <c r="Q52" s="67">
        <f t="shared" si="36"/>
        <v>11658</v>
      </c>
      <c r="R52" s="67">
        <f t="shared" si="36"/>
        <v>10060</v>
      </c>
      <c r="S52" s="67">
        <f t="shared" si="36"/>
        <v>1345</v>
      </c>
      <c r="T52" s="67">
        <f t="shared" si="36"/>
        <v>253</v>
      </c>
      <c r="U52" s="67">
        <f t="shared" si="36"/>
        <v>0</v>
      </c>
      <c r="V52" s="67">
        <f t="shared" si="36"/>
        <v>281</v>
      </c>
      <c r="W52" s="67">
        <f t="shared" si="36"/>
        <v>10642</v>
      </c>
      <c r="X52" s="67">
        <f t="shared" si="36"/>
        <v>9616</v>
      </c>
      <c r="Y52" s="67">
        <f t="shared" si="36"/>
        <v>899</v>
      </c>
      <c r="Z52" s="67">
        <f t="shared" si="36"/>
        <v>127</v>
      </c>
      <c r="AA52" s="67">
        <f t="shared" si="36"/>
        <v>0</v>
      </c>
      <c r="AB52" s="67">
        <f t="shared" si="36"/>
        <v>264</v>
      </c>
      <c r="AC52" s="67">
        <f t="shared" si="36"/>
        <v>10101</v>
      </c>
      <c r="AD52" s="67">
        <f t="shared" si="36"/>
        <v>9114</v>
      </c>
      <c r="AE52" s="67">
        <f t="shared" si="36"/>
        <v>869</v>
      </c>
      <c r="AF52" s="67">
        <f t="shared" si="36"/>
        <v>118</v>
      </c>
      <c r="AG52" s="67">
        <f t="shared" si="36"/>
        <v>0</v>
      </c>
      <c r="AH52" s="67">
        <f t="shared" si="36"/>
        <v>259</v>
      </c>
      <c r="AI52" s="67">
        <f t="shared" si="36"/>
        <v>10016</v>
      </c>
      <c r="AJ52" s="67">
        <f t="shared" si="36"/>
        <v>9231</v>
      </c>
      <c r="AK52" s="67">
        <f t="shared" si="36"/>
        <v>692</v>
      </c>
      <c r="AL52" s="67">
        <f t="shared" si="36"/>
        <v>93</v>
      </c>
    </row>
    <row r="53" spans="1:38" ht="25.5" x14ac:dyDescent="0.25">
      <c r="A53" s="56">
        <v>1</v>
      </c>
      <c r="B53" s="57" t="s">
        <v>142</v>
      </c>
      <c r="C53" s="56">
        <v>1</v>
      </c>
      <c r="D53" s="69">
        <f>J53+P53+V53+AB53+AH53</f>
        <v>22</v>
      </c>
      <c r="E53" s="73">
        <f t="shared" ref="E53:E67" si="37">F53+G53+H53</f>
        <v>440</v>
      </c>
      <c r="F53" s="73">
        <f>L53+R53+X53+AD53+AJ53</f>
        <v>0</v>
      </c>
      <c r="G53" s="73">
        <f>M53+S53+Y53+AE53+AK53</f>
        <v>384</v>
      </c>
      <c r="H53" s="73">
        <f>N53+T53+Z53+AF53+AL53</f>
        <v>56</v>
      </c>
      <c r="I53" s="73"/>
      <c r="J53" s="73">
        <v>5</v>
      </c>
      <c r="K53" s="73">
        <f>L53+M53+N53</f>
        <v>110</v>
      </c>
      <c r="L53" s="73"/>
      <c r="M53" s="74">
        <v>96</v>
      </c>
      <c r="N53" s="74">
        <v>14</v>
      </c>
      <c r="O53" s="73"/>
      <c r="P53" s="73">
        <v>5</v>
      </c>
      <c r="Q53" s="73">
        <f t="shared" ref="Q53:Q67" si="38">R53+S53+T53</f>
        <v>110</v>
      </c>
      <c r="R53" s="73"/>
      <c r="S53" s="74">
        <v>96</v>
      </c>
      <c r="T53" s="74">
        <v>14</v>
      </c>
      <c r="U53" s="73"/>
      <c r="V53" s="73">
        <v>6</v>
      </c>
      <c r="W53" s="73">
        <f t="shared" ref="W53:W67" si="39">X53+Y53+Z53</f>
        <v>110</v>
      </c>
      <c r="X53" s="73"/>
      <c r="Y53" s="74">
        <v>96</v>
      </c>
      <c r="Z53" s="74">
        <v>14</v>
      </c>
      <c r="AA53" s="73"/>
      <c r="AB53" s="73">
        <v>6</v>
      </c>
      <c r="AC53" s="73">
        <f t="shared" ref="AC53:AC67" si="40">AD53+AE53+AF53</f>
        <v>110</v>
      </c>
      <c r="AD53" s="73"/>
      <c r="AE53" s="74">
        <v>96</v>
      </c>
      <c r="AF53" s="74">
        <v>14</v>
      </c>
      <c r="AG53" s="73"/>
      <c r="AH53" s="73"/>
      <c r="AI53" s="73">
        <f t="shared" ref="AI53:AI67" si="41">SUM(AJ53:AL53)</f>
        <v>0</v>
      </c>
      <c r="AJ53" s="73"/>
      <c r="AK53" s="73"/>
      <c r="AL53" s="73"/>
    </row>
    <row r="54" spans="1:38" ht="25.5" x14ac:dyDescent="0.25">
      <c r="A54" s="56">
        <v>2</v>
      </c>
      <c r="B54" s="57" t="s">
        <v>143</v>
      </c>
      <c r="C54" s="75">
        <v>1</v>
      </c>
      <c r="D54" s="69">
        <f>J54+P54+V54+AB54+AH54</f>
        <v>14</v>
      </c>
      <c r="E54" s="73">
        <f t="shared" si="37"/>
        <v>400</v>
      </c>
      <c r="F54" s="73"/>
      <c r="G54" s="73">
        <v>400</v>
      </c>
      <c r="H54" s="73"/>
      <c r="I54" s="73"/>
      <c r="J54" s="73"/>
      <c r="K54" s="73">
        <f t="shared" ref="K54:K67" si="42">L54+M54+N54</f>
        <v>0</v>
      </c>
      <c r="L54" s="73"/>
      <c r="M54" s="73"/>
      <c r="N54" s="73"/>
      <c r="O54" s="73"/>
      <c r="P54" s="73">
        <v>7</v>
      </c>
      <c r="Q54" s="73">
        <f t="shared" si="38"/>
        <v>200</v>
      </c>
      <c r="R54" s="73"/>
      <c r="S54" s="73">
        <v>200</v>
      </c>
      <c r="T54" s="73"/>
      <c r="U54" s="73"/>
      <c r="V54" s="73">
        <v>7</v>
      </c>
      <c r="W54" s="73">
        <f t="shared" si="39"/>
        <v>200</v>
      </c>
      <c r="X54" s="73"/>
      <c r="Y54" s="73">
        <v>200</v>
      </c>
      <c r="Z54" s="73"/>
      <c r="AA54" s="73"/>
      <c r="AB54" s="73"/>
      <c r="AC54" s="73">
        <f t="shared" si="40"/>
        <v>0</v>
      </c>
      <c r="AD54" s="73"/>
      <c r="AE54" s="73"/>
      <c r="AF54" s="73"/>
      <c r="AG54" s="73"/>
      <c r="AH54" s="73"/>
      <c r="AI54" s="73">
        <f t="shared" si="41"/>
        <v>0</v>
      </c>
      <c r="AJ54" s="73"/>
      <c r="AK54" s="73"/>
      <c r="AL54" s="73"/>
    </row>
    <row r="55" spans="1:38" ht="25.5" x14ac:dyDescent="0.25">
      <c r="A55" s="56">
        <v>3</v>
      </c>
      <c r="B55" s="57" t="s">
        <v>116</v>
      </c>
      <c r="C55" s="56">
        <v>1</v>
      </c>
      <c r="D55" s="69"/>
      <c r="E55" s="73">
        <f t="shared" si="37"/>
        <v>800</v>
      </c>
      <c r="F55" s="73"/>
      <c r="G55" s="73"/>
      <c r="H55" s="73">
        <v>800</v>
      </c>
      <c r="I55" s="73"/>
      <c r="J55" s="73"/>
      <c r="K55" s="73">
        <f t="shared" si="42"/>
        <v>800</v>
      </c>
      <c r="L55" s="73"/>
      <c r="M55" s="73"/>
      <c r="N55" s="73">
        <v>800</v>
      </c>
      <c r="O55" s="73"/>
      <c r="P55" s="73"/>
      <c r="Q55" s="73">
        <f t="shared" si="38"/>
        <v>0</v>
      </c>
      <c r="R55" s="73"/>
      <c r="S55" s="73"/>
      <c r="T55" s="73"/>
      <c r="U55" s="73"/>
      <c r="V55" s="73"/>
      <c r="W55" s="73">
        <f t="shared" si="39"/>
        <v>0</v>
      </c>
      <c r="X55" s="73"/>
      <c r="Y55" s="73"/>
      <c r="Z55" s="73"/>
      <c r="AA55" s="73"/>
      <c r="AB55" s="73"/>
      <c r="AC55" s="73">
        <f t="shared" si="40"/>
        <v>0</v>
      </c>
      <c r="AD55" s="73"/>
      <c r="AE55" s="73"/>
      <c r="AF55" s="73"/>
      <c r="AG55" s="73"/>
      <c r="AH55" s="73"/>
      <c r="AI55" s="73">
        <f t="shared" si="41"/>
        <v>0</v>
      </c>
      <c r="AJ55" s="73"/>
      <c r="AK55" s="73"/>
      <c r="AL55" s="73"/>
    </row>
    <row r="56" spans="1:38" x14ac:dyDescent="0.25">
      <c r="A56" s="56">
        <v>4</v>
      </c>
      <c r="B56" s="57" t="s">
        <v>90</v>
      </c>
      <c r="C56" s="56">
        <v>1</v>
      </c>
      <c r="D56" s="69">
        <f t="shared" ref="D56:D67" si="43">J56+P56+V56+AB56+AH56</f>
        <v>12</v>
      </c>
      <c r="E56" s="73">
        <f t="shared" si="37"/>
        <v>480</v>
      </c>
      <c r="F56" s="73">
        <v>480</v>
      </c>
      <c r="G56" s="73"/>
      <c r="H56" s="73"/>
      <c r="I56" s="73"/>
      <c r="J56" s="73">
        <v>6</v>
      </c>
      <c r="K56" s="73">
        <f t="shared" si="42"/>
        <v>240</v>
      </c>
      <c r="L56" s="73">
        <v>240</v>
      </c>
      <c r="M56" s="73"/>
      <c r="N56" s="73"/>
      <c r="O56" s="73"/>
      <c r="P56" s="73">
        <v>6</v>
      </c>
      <c r="Q56" s="73">
        <f t="shared" si="38"/>
        <v>240</v>
      </c>
      <c r="R56" s="73">
        <v>240</v>
      </c>
      <c r="S56" s="73"/>
      <c r="T56" s="73"/>
      <c r="U56" s="73"/>
      <c r="V56" s="73"/>
      <c r="W56" s="73">
        <f t="shared" si="39"/>
        <v>0</v>
      </c>
      <c r="X56" s="73"/>
      <c r="Y56" s="73"/>
      <c r="Z56" s="73"/>
      <c r="AA56" s="73"/>
      <c r="AB56" s="73"/>
      <c r="AC56" s="73">
        <f t="shared" si="40"/>
        <v>0</v>
      </c>
      <c r="AD56" s="73"/>
      <c r="AE56" s="73"/>
      <c r="AF56" s="73"/>
      <c r="AG56" s="73"/>
      <c r="AH56" s="73"/>
      <c r="AI56" s="73">
        <f t="shared" si="41"/>
        <v>0</v>
      </c>
      <c r="AJ56" s="73"/>
      <c r="AK56" s="73"/>
      <c r="AL56" s="73"/>
    </row>
    <row r="57" spans="1:38" x14ac:dyDescent="0.25">
      <c r="A57" s="56">
        <v>5</v>
      </c>
      <c r="B57" s="57" t="s">
        <v>98</v>
      </c>
      <c r="C57" s="56">
        <v>2</v>
      </c>
      <c r="D57" s="69">
        <f t="shared" si="43"/>
        <v>41</v>
      </c>
      <c r="E57" s="73">
        <f t="shared" si="37"/>
        <v>1600</v>
      </c>
      <c r="F57" s="73">
        <v>565</v>
      </c>
      <c r="G57" s="73">
        <v>848</v>
      </c>
      <c r="H57" s="73">
        <v>187</v>
      </c>
      <c r="I57" s="73"/>
      <c r="J57" s="73"/>
      <c r="K57" s="73">
        <f t="shared" si="42"/>
        <v>0</v>
      </c>
      <c r="L57" s="69"/>
      <c r="M57" s="69"/>
      <c r="N57" s="69"/>
      <c r="O57" s="69"/>
      <c r="P57" s="69">
        <v>11</v>
      </c>
      <c r="Q57" s="73">
        <f t="shared" si="38"/>
        <v>400</v>
      </c>
      <c r="R57" s="69">
        <v>141</v>
      </c>
      <c r="S57" s="69">
        <v>212</v>
      </c>
      <c r="T57" s="69">
        <v>47</v>
      </c>
      <c r="U57" s="69"/>
      <c r="V57" s="69">
        <v>10</v>
      </c>
      <c r="W57" s="73">
        <f t="shared" si="39"/>
        <v>400</v>
      </c>
      <c r="X57" s="69">
        <v>141</v>
      </c>
      <c r="Y57" s="69">
        <v>212</v>
      </c>
      <c r="Z57" s="69">
        <v>47</v>
      </c>
      <c r="AA57" s="69"/>
      <c r="AB57" s="69">
        <v>10</v>
      </c>
      <c r="AC57" s="73">
        <f t="shared" si="40"/>
        <v>400</v>
      </c>
      <c r="AD57" s="69">
        <v>141</v>
      </c>
      <c r="AE57" s="69">
        <v>212</v>
      </c>
      <c r="AF57" s="69">
        <v>47</v>
      </c>
      <c r="AG57" s="69"/>
      <c r="AH57" s="69">
        <v>10</v>
      </c>
      <c r="AI57" s="73">
        <f t="shared" si="41"/>
        <v>400</v>
      </c>
      <c r="AJ57" s="69">
        <v>141</v>
      </c>
      <c r="AK57" s="69">
        <v>212</v>
      </c>
      <c r="AL57" s="69">
        <v>47</v>
      </c>
    </row>
    <row r="58" spans="1:38" x14ac:dyDescent="0.25">
      <c r="A58" s="56">
        <v>6</v>
      </c>
      <c r="B58" s="57" t="s">
        <v>120</v>
      </c>
      <c r="C58" s="56">
        <v>2</v>
      </c>
      <c r="D58" s="69">
        <f t="shared" si="43"/>
        <v>30</v>
      </c>
      <c r="E58" s="73">
        <f t="shared" si="37"/>
        <v>1450</v>
      </c>
      <c r="F58" s="73">
        <v>114</v>
      </c>
      <c r="G58" s="73">
        <v>1068</v>
      </c>
      <c r="H58" s="73">
        <v>268</v>
      </c>
      <c r="I58" s="73"/>
      <c r="J58" s="73">
        <v>6</v>
      </c>
      <c r="K58" s="73">
        <f t="shared" si="42"/>
        <v>193</v>
      </c>
      <c r="L58" s="69">
        <v>87</v>
      </c>
      <c r="M58" s="69">
        <v>106</v>
      </c>
      <c r="N58" s="69"/>
      <c r="O58" s="69"/>
      <c r="P58" s="73">
        <v>6</v>
      </c>
      <c r="Q58" s="73">
        <f t="shared" si="38"/>
        <v>663</v>
      </c>
      <c r="R58" s="69">
        <v>9</v>
      </c>
      <c r="S58" s="69">
        <v>489</v>
      </c>
      <c r="T58" s="69">
        <v>165</v>
      </c>
      <c r="U58" s="69"/>
      <c r="V58" s="73">
        <v>6</v>
      </c>
      <c r="W58" s="73">
        <f t="shared" si="39"/>
        <v>87</v>
      </c>
      <c r="X58" s="69">
        <v>5</v>
      </c>
      <c r="Y58" s="69">
        <v>43</v>
      </c>
      <c r="Z58" s="69">
        <v>39</v>
      </c>
      <c r="AA58" s="69"/>
      <c r="AB58" s="73">
        <v>6</v>
      </c>
      <c r="AC58" s="73">
        <f t="shared" si="40"/>
        <v>246</v>
      </c>
      <c r="AD58" s="69">
        <v>3</v>
      </c>
      <c r="AE58" s="69">
        <v>213</v>
      </c>
      <c r="AF58" s="69">
        <v>30</v>
      </c>
      <c r="AG58" s="69"/>
      <c r="AH58" s="73">
        <v>6</v>
      </c>
      <c r="AI58" s="73">
        <f t="shared" si="41"/>
        <v>261</v>
      </c>
      <c r="AJ58" s="73">
        <v>10</v>
      </c>
      <c r="AK58" s="69">
        <v>217</v>
      </c>
      <c r="AL58" s="69">
        <v>34</v>
      </c>
    </row>
    <row r="59" spans="1:38" ht="25.5" x14ac:dyDescent="0.25">
      <c r="A59" s="56">
        <v>7</v>
      </c>
      <c r="B59" s="57" t="s">
        <v>121</v>
      </c>
      <c r="C59" s="56">
        <v>6</v>
      </c>
      <c r="D59" s="69">
        <f t="shared" si="43"/>
        <v>200</v>
      </c>
      <c r="E59" s="73">
        <f t="shared" si="37"/>
        <v>5500</v>
      </c>
      <c r="F59" s="73">
        <v>5500</v>
      </c>
      <c r="G59" s="73"/>
      <c r="H59" s="73"/>
      <c r="I59" s="73"/>
      <c r="J59" s="73"/>
      <c r="K59" s="73">
        <f t="shared" si="42"/>
        <v>0</v>
      </c>
      <c r="L59" s="69"/>
      <c r="M59" s="69"/>
      <c r="N59" s="69"/>
      <c r="O59" s="69"/>
      <c r="P59" s="69">
        <v>50</v>
      </c>
      <c r="Q59" s="73">
        <f t="shared" si="38"/>
        <v>1375</v>
      </c>
      <c r="R59" s="69">
        <v>1375</v>
      </c>
      <c r="S59" s="69"/>
      <c r="T59" s="69"/>
      <c r="U59" s="69"/>
      <c r="V59" s="69">
        <v>50</v>
      </c>
      <c r="W59" s="73">
        <f t="shared" si="39"/>
        <v>1375</v>
      </c>
      <c r="X59" s="69">
        <v>1375</v>
      </c>
      <c r="Y59" s="69"/>
      <c r="Z59" s="69"/>
      <c r="AA59" s="69"/>
      <c r="AB59" s="69">
        <v>50</v>
      </c>
      <c r="AC59" s="73">
        <f t="shared" si="40"/>
        <v>1375</v>
      </c>
      <c r="AD59" s="69">
        <v>1375</v>
      </c>
      <c r="AE59" s="69"/>
      <c r="AF59" s="69"/>
      <c r="AG59" s="69"/>
      <c r="AH59" s="69">
        <v>50</v>
      </c>
      <c r="AI59" s="73">
        <f t="shared" si="41"/>
        <v>1375</v>
      </c>
      <c r="AJ59" s="69">
        <v>1375</v>
      </c>
      <c r="AK59" s="69"/>
      <c r="AL59" s="69"/>
    </row>
    <row r="60" spans="1:38" ht="25.5" x14ac:dyDescent="0.25">
      <c r="A60" s="56">
        <v>8</v>
      </c>
      <c r="B60" s="57" t="s">
        <v>115</v>
      </c>
      <c r="C60" s="76">
        <v>3</v>
      </c>
      <c r="D60" s="69">
        <f t="shared" si="43"/>
        <v>70</v>
      </c>
      <c r="E60" s="73">
        <f t="shared" si="37"/>
        <v>2800</v>
      </c>
      <c r="F60" s="73">
        <v>2800</v>
      </c>
      <c r="G60" s="73"/>
      <c r="H60" s="73"/>
      <c r="I60" s="73"/>
      <c r="J60" s="73">
        <v>14</v>
      </c>
      <c r="K60" s="73">
        <f t="shared" si="42"/>
        <v>560</v>
      </c>
      <c r="L60" s="69">
        <v>560</v>
      </c>
      <c r="M60" s="69"/>
      <c r="N60" s="69"/>
      <c r="O60" s="69"/>
      <c r="P60" s="73">
        <v>14</v>
      </c>
      <c r="Q60" s="73">
        <f t="shared" si="38"/>
        <v>560</v>
      </c>
      <c r="R60" s="69">
        <v>560</v>
      </c>
      <c r="S60" s="69"/>
      <c r="T60" s="69"/>
      <c r="U60" s="69"/>
      <c r="V60" s="73">
        <v>14</v>
      </c>
      <c r="W60" s="73">
        <f t="shared" si="39"/>
        <v>560</v>
      </c>
      <c r="X60" s="69">
        <v>560</v>
      </c>
      <c r="Y60" s="69"/>
      <c r="Z60" s="69"/>
      <c r="AA60" s="69"/>
      <c r="AB60" s="73">
        <v>14</v>
      </c>
      <c r="AC60" s="73">
        <f t="shared" si="40"/>
        <v>560</v>
      </c>
      <c r="AD60" s="69">
        <v>560</v>
      </c>
      <c r="AE60" s="69"/>
      <c r="AF60" s="69"/>
      <c r="AG60" s="69"/>
      <c r="AH60" s="73">
        <v>14</v>
      </c>
      <c r="AI60" s="73">
        <f t="shared" si="41"/>
        <v>560</v>
      </c>
      <c r="AJ60" s="69">
        <v>560</v>
      </c>
      <c r="AK60" s="69"/>
      <c r="AL60" s="69"/>
    </row>
    <row r="61" spans="1:38" ht="25.5" x14ac:dyDescent="0.25">
      <c r="A61" s="56">
        <v>9</v>
      </c>
      <c r="B61" s="57" t="s">
        <v>144</v>
      </c>
      <c r="C61" s="56">
        <v>1</v>
      </c>
      <c r="D61" s="69">
        <f t="shared" si="43"/>
        <v>50</v>
      </c>
      <c r="E61" s="73">
        <f t="shared" si="37"/>
        <v>500</v>
      </c>
      <c r="F61" s="73">
        <v>500</v>
      </c>
      <c r="G61" s="73"/>
      <c r="H61" s="73"/>
      <c r="I61" s="73"/>
      <c r="J61" s="73">
        <v>10</v>
      </c>
      <c r="K61" s="73">
        <f t="shared" si="42"/>
        <v>100</v>
      </c>
      <c r="L61" s="73">
        <v>100</v>
      </c>
      <c r="M61" s="69"/>
      <c r="N61" s="69"/>
      <c r="O61" s="69"/>
      <c r="P61" s="73">
        <v>10</v>
      </c>
      <c r="Q61" s="73">
        <f t="shared" si="38"/>
        <v>100</v>
      </c>
      <c r="R61" s="73">
        <v>100</v>
      </c>
      <c r="S61" s="69"/>
      <c r="T61" s="69"/>
      <c r="U61" s="69"/>
      <c r="V61" s="73">
        <v>10</v>
      </c>
      <c r="W61" s="73">
        <f t="shared" si="39"/>
        <v>100</v>
      </c>
      <c r="X61" s="73">
        <v>100</v>
      </c>
      <c r="Y61" s="69"/>
      <c r="Z61" s="69"/>
      <c r="AA61" s="69"/>
      <c r="AB61" s="73">
        <v>10</v>
      </c>
      <c r="AC61" s="73">
        <f t="shared" si="40"/>
        <v>100</v>
      </c>
      <c r="AD61" s="73">
        <v>100</v>
      </c>
      <c r="AE61" s="69"/>
      <c r="AF61" s="69"/>
      <c r="AG61" s="69"/>
      <c r="AH61" s="73">
        <v>10</v>
      </c>
      <c r="AI61" s="73">
        <f t="shared" si="41"/>
        <v>100</v>
      </c>
      <c r="AJ61" s="73">
        <v>100</v>
      </c>
      <c r="AK61" s="69"/>
      <c r="AL61" s="69"/>
    </row>
    <row r="62" spans="1:38" x14ac:dyDescent="0.25">
      <c r="A62" s="56">
        <v>10</v>
      </c>
      <c r="B62" s="57" t="s">
        <v>95</v>
      </c>
      <c r="C62" s="77">
        <v>3</v>
      </c>
      <c r="D62" s="69">
        <f t="shared" si="43"/>
        <v>44</v>
      </c>
      <c r="E62" s="73">
        <f t="shared" si="37"/>
        <v>2200</v>
      </c>
      <c r="F62" s="73">
        <v>2200</v>
      </c>
      <c r="G62" s="73"/>
      <c r="H62" s="73"/>
      <c r="I62" s="73"/>
      <c r="J62" s="73">
        <v>24</v>
      </c>
      <c r="K62" s="73">
        <f t="shared" si="42"/>
        <v>1000</v>
      </c>
      <c r="L62" s="69">
        <v>1000</v>
      </c>
      <c r="M62" s="69"/>
      <c r="N62" s="69"/>
      <c r="O62" s="69"/>
      <c r="P62" s="69">
        <v>10</v>
      </c>
      <c r="Q62" s="73">
        <f t="shared" si="38"/>
        <v>700</v>
      </c>
      <c r="R62" s="69">
        <v>700</v>
      </c>
      <c r="S62" s="69"/>
      <c r="T62" s="69"/>
      <c r="U62" s="69"/>
      <c r="V62" s="69">
        <v>10</v>
      </c>
      <c r="W62" s="73">
        <f t="shared" si="39"/>
        <v>500</v>
      </c>
      <c r="X62" s="69">
        <v>500</v>
      </c>
      <c r="Y62" s="69"/>
      <c r="Z62" s="69"/>
      <c r="AA62" s="69"/>
      <c r="AB62" s="69"/>
      <c r="AC62" s="73">
        <f t="shared" si="40"/>
        <v>0</v>
      </c>
      <c r="AD62" s="69"/>
      <c r="AE62" s="69"/>
      <c r="AF62" s="69"/>
      <c r="AG62" s="69"/>
      <c r="AH62" s="69"/>
      <c r="AI62" s="73">
        <f t="shared" si="41"/>
        <v>0</v>
      </c>
      <c r="AJ62" s="73"/>
      <c r="AK62" s="69"/>
      <c r="AL62" s="69"/>
    </row>
    <row r="63" spans="1:38" x14ac:dyDescent="0.25">
      <c r="A63" s="56">
        <v>11</v>
      </c>
      <c r="B63" s="57" t="s">
        <v>145</v>
      </c>
      <c r="C63" s="77">
        <v>1</v>
      </c>
      <c r="D63" s="69">
        <f t="shared" si="43"/>
        <v>9</v>
      </c>
      <c r="E63" s="73">
        <f t="shared" si="37"/>
        <v>440</v>
      </c>
      <c r="F63" s="74"/>
      <c r="G63" s="74">
        <v>440</v>
      </c>
      <c r="H63" s="74"/>
      <c r="I63" s="74"/>
      <c r="J63" s="74"/>
      <c r="K63" s="73">
        <f t="shared" si="42"/>
        <v>0</v>
      </c>
      <c r="L63" s="74"/>
      <c r="M63" s="74"/>
      <c r="N63" s="74"/>
      <c r="O63" s="74"/>
      <c r="P63" s="78">
        <v>2</v>
      </c>
      <c r="Q63" s="73">
        <f t="shared" si="38"/>
        <v>110</v>
      </c>
      <c r="R63" s="69"/>
      <c r="S63" s="74">
        <v>110</v>
      </c>
      <c r="T63" s="74"/>
      <c r="U63" s="74"/>
      <c r="V63" s="78">
        <v>2</v>
      </c>
      <c r="W63" s="73">
        <f t="shared" si="39"/>
        <v>110</v>
      </c>
      <c r="X63" s="74"/>
      <c r="Y63" s="69">
        <v>110</v>
      </c>
      <c r="Z63" s="74"/>
      <c r="AA63" s="74"/>
      <c r="AB63" s="78">
        <v>2</v>
      </c>
      <c r="AC63" s="73">
        <f t="shared" si="40"/>
        <v>110</v>
      </c>
      <c r="AD63" s="74"/>
      <c r="AE63" s="69">
        <v>110</v>
      </c>
      <c r="AF63" s="74"/>
      <c r="AG63" s="74"/>
      <c r="AH63" s="78">
        <v>3</v>
      </c>
      <c r="AI63" s="73">
        <f t="shared" si="41"/>
        <v>220</v>
      </c>
      <c r="AJ63" s="74">
        <f>AK63</f>
        <v>110</v>
      </c>
      <c r="AK63" s="69">
        <v>110</v>
      </c>
      <c r="AL63" s="74"/>
    </row>
    <row r="64" spans="1:38" x14ac:dyDescent="0.25">
      <c r="A64" s="56">
        <v>12</v>
      </c>
      <c r="B64" s="57" t="s">
        <v>100</v>
      </c>
      <c r="C64" s="77">
        <v>5</v>
      </c>
      <c r="D64" s="69">
        <f t="shared" si="43"/>
        <v>80</v>
      </c>
      <c r="E64" s="73">
        <f t="shared" si="37"/>
        <v>4000</v>
      </c>
      <c r="F64" s="78">
        <v>4000</v>
      </c>
      <c r="G64" s="74"/>
      <c r="H64" s="74"/>
      <c r="I64" s="74"/>
      <c r="J64" s="78">
        <v>16</v>
      </c>
      <c r="K64" s="73">
        <f t="shared" si="42"/>
        <v>800</v>
      </c>
      <c r="L64" s="69">
        <v>800</v>
      </c>
      <c r="M64" s="74"/>
      <c r="N64" s="74"/>
      <c r="O64" s="74"/>
      <c r="P64" s="78">
        <v>16</v>
      </c>
      <c r="Q64" s="73">
        <f t="shared" si="38"/>
        <v>800</v>
      </c>
      <c r="R64" s="69">
        <v>800</v>
      </c>
      <c r="S64" s="74"/>
      <c r="T64" s="74"/>
      <c r="U64" s="74"/>
      <c r="V64" s="78">
        <v>16</v>
      </c>
      <c r="W64" s="73">
        <f t="shared" si="39"/>
        <v>800</v>
      </c>
      <c r="X64" s="69">
        <v>800</v>
      </c>
      <c r="Y64" s="74"/>
      <c r="Z64" s="74"/>
      <c r="AA64" s="74"/>
      <c r="AB64" s="78">
        <v>16</v>
      </c>
      <c r="AC64" s="73">
        <f t="shared" si="40"/>
        <v>800</v>
      </c>
      <c r="AD64" s="69">
        <v>800</v>
      </c>
      <c r="AE64" s="74"/>
      <c r="AF64" s="74"/>
      <c r="AG64" s="74"/>
      <c r="AH64" s="78">
        <v>16</v>
      </c>
      <c r="AI64" s="73">
        <f t="shared" si="41"/>
        <v>800</v>
      </c>
      <c r="AJ64" s="69">
        <v>800</v>
      </c>
      <c r="AK64" s="74"/>
      <c r="AL64" s="74"/>
    </row>
    <row r="65" spans="1:38" x14ac:dyDescent="0.25">
      <c r="A65" s="56">
        <v>13</v>
      </c>
      <c r="B65" s="57" t="s">
        <v>94</v>
      </c>
      <c r="C65" s="77">
        <v>2</v>
      </c>
      <c r="D65" s="69">
        <f t="shared" si="43"/>
        <v>0</v>
      </c>
      <c r="E65" s="73">
        <f t="shared" si="37"/>
        <v>1200</v>
      </c>
      <c r="F65" s="79">
        <v>540</v>
      </c>
      <c r="G65" s="79">
        <v>612</v>
      </c>
      <c r="H65" s="79">
        <v>48</v>
      </c>
      <c r="I65" s="74"/>
      <c r="J65" s="74"/>
      <c r="K65" s="73">
        <f t="shared" si="42"/>
        <v>0</v>
      </c>
      <c r="L65" s="74"/>
      <c r="M65" s="74"/>
      <c r="N65" s="74"/>
      <c r="O65" s="74"/>
      <c r="P65" s="74"/>
      <c r="Q65" s="73">
        <f t="shared" si="38"/>
        <v>300</v>
      </c>
      <c r="R65" s="79">
        <v>135</v>
      </c>
      <c r="S65" s="79">
        <v>153</v>
      </c>
      <c r="T65" s="79">
        <v>12</v>
      </c>
      <c r="U65" s="74"/>
      <c r="V65" s="74"/>
      <c r="W65" s="73">
        <f t="shared" si="39"/>
        <v>300</v>
      </c>
      <c r="X65" s="79">
        <v>135</v>
      </c>
      <c r="Y65" s="79">
        <v>153</v>
      </c>
      <c r="Z65" s="79">
        <v>12</v>
      </c>
      <c r="AA65" s="74"/>
      <c r="AB65" s="74"/>
      <c r="AC65" s="73">
        <f t="shared" si="40"/>
        <v>300</v>
      </c>
      <c r="AD65" s="79">
        <v>135</v>
      </c>
      <c r="AE65" s="79">
        <v>153</v>
      </c>
      <c r="AF65" s="79">
        <v>12</v>
      </c>
      <c r="AG65" s="74"/>
      <c r="AH65" s="74"/>
      <c r="AI65" s="73">
        <f t="shared" si="41"/>
        <v>300</v>
      </c>
      <c r="AJ65" s="79">
        <v>135</v>
      </c>
      <c r="AK65" s="79">
        <v>153</v>
      </c>
      <c r="AL65" s="79">
        <v>12</v>
      </c>
    </row>
    <row r="66" spans="1:38" ht="25.5" x14ac:dyDescent="0.25">
      <c r="A66" s="56">
        <v>14</v>
      </c>
      <c r="B66" s="57" t="s">
        <v>146</v>
      </c>
      <c r="C66" s="59">
        <v>1</v>
      </c>
      <c r="D66" s="69">
        <f t="shared" si="43"/>
        <v>0</v>
      </c>
      <c r="E66" s="73">
        <f t="shared" si="37"/>
        <v>400</v>
      </c>
      <c r="F66" s="74"/>
      <c r="G66" s="79">
        <v>340</v>
      </c>
      <c r="H66" s="79">
        <v>60</v>
      </c>
      <c r="I66" s="74"/>
      <c r="J66" s="74"/>
      <c r="K66" s="73">
        <f t="shared" si="42"/>
        <v>100</v>
      </c>
      <c r="L66" s="74"/>
      <c r="M66" s="79">
        <v>85</v>
      </c>
      <c r="N66" s="79">
        <v>15</v>
      </c>
      <c r="O66" s="74"/>
      <c r="P66" s="74"/>
      <c r="Q66" s="73">
        <f t="shared" si="38"/>
        <v>100</v>
      </c>
      <c r="R66" s="74"/>
      <c r="S66" s="79">
        <v>85</v>
      </c>
      <c r="T66" s="79">
        <v>15</v>
      </c>
      <c r="U66" s="74"/>
      <c r="V66" s="74"/>
      <c r="W66" s="73">
        <f t="shared" si="39"/>
        <v>100</v>
      </c>
      <c r="X66" s="74"/>
      <c r="Y66" s="79">
        <v>85</v>
      </c>
      <c r="Z66" s="79">
        <v>15</v>
      </c>
      <c r="AA66" s="74"/>
      <c r="AB66" s="74"/>
      <c r="AC66" s="73">
        <f t="shared" si="40"/>
        <v>100</v>
      </c>
      <c r="AD66" s="74"/>
      <c r="AE66" s="79">
        <v>85</v>
      </c>
      <c r="AF66" s="79">
        <v>15</v>
      </c>
      <c r="AG66" s="74"/>
      <c r="AH66" s="74"/>
      <c r="AI66" s="73">
        <f t="shared" si="41"/>
        <v>0</v>
      </c>
      <c r="AJ66" s="74"/>
      <c r="AK66" s="74"/>
      <c r="AL66" s="74"/>
    </row>
    <row r="67" spans="1:38" ht="25.5" x14ac:dyDescent="0.25">
      <c r="A67" s="56">
        <v>15</v>
      </c>
      <c r="B67" s="57" t="s">
        <v>87</v>
      </c>
      <c r="C67" s="56">
        <v>30</v>
      </c>
      <c r="D67" s="69">
        <f t="shared" si="43"/>
        <v>750</v>
      </c>
      <c r="E67" s="73">
        <f t="shared" si="37"/>
        <v>30000</v>
      </c>
      <c r="F67" s="74">
        <v>30000</v>
      </c>
      <c r="G67" s="74"/>
      <c r="H67" s="74"/>
      <c r="I67" s="74"/>
      <c r="J67" s="74">
        <v>150</v>
      </c>
      <c r="K67" s="73">
        <f t="shared" si="42"/>
        <v>6000</v>
      </c>
      <c r="L67" s="74">
        <v>6000</v>
      </c>
      <c r="M67" s="74"/>
      <c r="N67" s="74"/>
      <c r="O67" s="74"/>
      <c r="P67" s="74">
        <v>150</v>
      </c>
      <c r="Q67" s="73">
        <f t="shared" si="38"/>
        <v>6000</v>
      </c>
      <c r="R67" s="74">
        <v>6000</v>
      </c>
      <c r="S67" s="74"/>
      <c r="T67" s="74"/>
      <c r="U67" s="74"/>
      <c r="V67" s="74">
        <v>150</v>
      </c>
      <c r="W67" s="73">
        <f t="shared" si="39"/>
        <v>6000</v>
      </c>
      <c r="X67" s="74">
        <v>6000</v>
      </c>
      <c r="Y67" s="74"/>
      <c r="Z67" s="74"/>
      <c r="AA67" s="74"/>
      <c r="AB67" s="74">
        <v>150</v>
      </c>
      <c r="AC67" s="73">
        <f t="shared" si="40"/>
        <v>6000</v>
      </c>
      <c r="AD67" s="74">
        <v>6000</v>
      </c>
      <c r="AE67" s="74"/>
      <c r="AF67" s="74"/>
      <c r="AG67" s="74"/>
      <c r="AH67" s="74">
        <v>150</v>
      </c>
      <c r="AI67" s="73">
        <f t="shared" si="41"/>
        <v>6000</v>
      </c>
      <c r="AJ67" s="74">
        <v>6000</v>
      </c>
      <c r="AK67" s="74"/>
      <c r="AL67" s="74"/>
    </row>
  </sheetData>
  <mergeCells count="42">
    <mergeCell ref="P5:P7"/>
    <mergeCell ref="Q5:T5"/>
    <mergeCell ref="U5:U7"/>
    <mergeCell ref="V5:V7"/>
    <mergeCell ref="W5:Z5"/>
    <mergeCell ref="E5:H5"/>
    <mergeCell ref="I5:I7"/>
    <mergeCell ref="J5:J7"/>
    <mergeCell ref="K5:N5"/>
    <mergeCell ref="O5:O7"/>
    <mergeCell ref="AC5:AF5"/>
    <mergeCell ref="AG5:AG7"/>
    <mergeCell ref="AH5:AH7"/>
    <mergeCell ref="A1:AL1"/>
    <mergeCell ref="A2:AL2"/>
    <mergeCell ref="AI3:AL3"/>
    <mergeCell ref="A4:A7"/>
    <mergeCell ref="B4:B7"/>
    <mergeCell ref="C4:H4"/>
    <mergeCell ref="I4:N4"/>
    <mergeCell ref="O4:T4"/>
    <mergeCell ref="U4:Z4"/>
    <mergeCell ref="AA4:AF4"/>
    <mergeCell ref="AG4:AL4"/>
    <mergeCell ref="C5:C7"/>
    <mergeCell ref="D5:D7"/>
    <mergeCell ref="A8:B8"/>
    <mergeCell ref="AI5:AL5"/>
    <mergeCell ref="E6:E7"/>
    <mergeCell ref="F6:H6"/>
    <mergeCell ref="K6:K7"/>
    <mergeCell ref="L6:N6"/>
    <mergeCell ref="Q6:Q7"/>
    <mergeCell ref="R6:T6"/>
    <mergeCell ref="W6:W7"/>
    <mergeCell ref="X6:Z6"/>
    <mergeCell ref="AC6:AC7"/>
    <mergeCell ref="AD6:AF6"/>
    <mergeCell ref="AI6:AI7"/>
    <mergeCell ref="AJ6:AL6"/>
    <mergeCell ref="AA5:AA7"/>
    <mergeCell ref="AB5:AB7"/>
  </mergeCells>
  <pageMargins left="0.2" right="0.2" top="0.5" bottom="0.25" header="0.3" footer="0.3"/>
  <pageSetup paperSize="9" scale="7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53C6C-8DE2-4D44-8CF9-455B233A04E7}">
  <dimension ref="A2:L36"/>
  <sheetViews>
    <sheetView tabSelected="1" workbookViewId="0">
      <selection activeCell="L2" sqref="L2:L5"/>
    </sheetView>
  </sheetViews>
  <sheetFormatPr defaultRowHeight="15" customHeight="1" x14ac:dyDescent="0.25"/>
  <cols>
    <col min="1" max="1" width="7.85546875" customWidth="1"/>
    <col min="2" max="2" width="25.85546875" customWidth="1"/>
    <col min="3" max="3" width="37" customWidth="1"/>
    <col min="4" max="11" width="10.7109375" customWidth="1"/>
    <col min="12" max="12" width="30" customWidth="1"/>
  </cols>
  <sheetData>
    <row r="2" spans="1:12" ht="15" customHeight="1" x14ac:dyDescent="0.25">
      <c r="L2" s="108" t="s">
        <v>34</v>
      </c>
    </row>
    <row r="3" spans="1:12" ht="15" customHeight="1" x14ac:dyDescent="0.25">
      <c r="A3" s="110" t="s">
        <v>14</v>
      </c>
      <c r="B3" s="110" t="s">
        <v>16</v>
      </c>
      <c r="C3" s="110" t="s">
        <v>15</v>
      </c>
      <c r="D3" s="110" t="s">
        <v>22</v>
      </c>
      <c r="E3" s="110"/>
      <c r="F3" s="110"/>
      <c r="G3" s="110"/>
      <c r="H3" s="110" t="s">
        <v>25</v>
      </c>
      <c r="I3" s="110"/>
      <c r="J3" s="110"/>
      <c r="K3" s="110"/>
      <c r="L3" s="108"/>
    </row>
    <row r="4" spans="1:12" ht="15" customHeight="1" x14ac:dyDescent="0.25">
      <c r="A4" s="110"/>
      <c r="B4" s="110"/>
      <c r="C4" s="110"/>
      <c r="D4" s="88" t="s">
        <v>23</v>
      </c>
      <c r="E4" s="110" t="s">
        <v>39</v>
      </c>
      <c r="F4" s="110"/>
      <c r="G4" s="110"/>
      <c r="H4" s="88" t="s">
        <v>23</v>
      </c>
      <c r="I4" s="110" t="s">
        <v>24</v>
      </c>
      <c r="J4" s="110"/>
      <c r="K4" s="110"/>
      <c r="L4" s="108"/>
    </row>
    <row r="5" spans="1:12" ht="44.25" customHeight="1" x14ac:dyDescent="0.25">
      <c r="A5" s="110"/>
      <c r="B5" s="110"/>
      <c r="C5" s="110"/>
      <c r="D5" s="88"/>
      <c r="E5" s="11" t="s">
        <v>19</v>
      </c>
      <c r="F5" s="11" t="s">
        <v>21</v>
      </c>
      <c r="G5" s="11" t="s">
        <v>20</v>
      </c>
      <c r="H5" s="88"/>
      <c r="I5" s="11" t="s">
        <v>19</v>
      </c>
      <c r="J5" s="11" t="s">
        <v>21</v>
      </c>
      <c r="K5" s="11" t="s">
        <v>20</v>
      </c>
      <c r="L5" s="109"/>
    </row>
    <row r="6" spans="1:12" ht="15" customHeight="1" x14ac:dyDescent="0.25">
      <c r="A6" s="12">
        <v>1</v>
      </c>
      <c r="B6" s="12" t="s">
        <v>17</v>
      </c>
      <c r="C6" s="12" t="s">
        <v>18</v>
      </c>
      <c r="D6" s="14">
        <v>5000</v>
      </c>
      <c r="E6" s="14">
        <v>80</v>
      </c>
      <c r="F6" s="14">
        <v>70</v>
      </c>
      <c r="G6" s="14">
        <v>50</v>
      </c>
      <c r="H6" s="15">
        <v>2000</v>
      </c>
      <c r="I6" s="15">
        <v>80</v>
      </c>
      <c r="J6" s="15">
        <v>70</v>
      </c>
      <c r="K6" s="15">
        <v>50</v>
      </c>
      <c r="L6" s="12"/>
    </row>
    <row r="7" spans="1:12" ht="15" customHeight="1" x14ac:dyDescent="0.25">
      <c r="A7" s="12">
        <f>A6+1</f>
        <v>2</v>
      </c>
      <c r="B7" s="12" t="s">
        <v>26</v>
      </c>
      <c r="C7" s="12" t="s">
        <v>27</v>
      </c>
      <c r="D7" s="14">
        <v>5000</v>
      </c>
      <c r="E7" s="14">
        <v>60</v>
      </c>
      <c r="F7" s="14">
        <v>60</v>
      </c>
      <c r="G7" s="14">
        <v>40</v>
      </c>
      <c r="H7" s="14">
        <v>4000</v>
      </c>
      <c r="I7" s="14">
        <v>50</v>
      </c>
      <c r="J7" s="14">
        <v>50</v>
      </c>
      <c r="K7" s="14">
        <v>30</v>
      </c>
      <c r="L7" s="12"/>
    </row>
    <row r="8" spans="1:12" ht="15" customHeight="1" x14ac:dyDescent="0.25">
      <c r="A8" s="12">
        <f t="shared" ref="A8:A36" si="0">A7+1</f>
        <v>3</v>
      </c>
      <c r="B8" s="12" t="s">
        <v>29</v>
      </c>
      <c r="C8" s="12" t="s">
        <v>30</v>
      </c>
      <c r="D8" s="14">
        <v>3000</v>
      </c>
      <c r="E8" s="14">
        <v>60</v>
      </c>
      <c r="F8" s="14">
        <v>50</v>
      </c>
      <c r="G8" s="14">
        <v>40</v>
      </c>
      <c r="H8" s="14">
        <v>1000</v>
      </c>
      <c r="I8" s="14">
        <v>50</v>
      </c>
      <c r="J8" s="14">
        <v>40</v>
      </c>
      <c r="K8" s="14">
        <v>30</v>
      </c>
      <c r="L8" s="12"/>
    </row>
    <row r="9" spans="1:12" ht="15" customHeight="1" x14ac:dyDescent="0.25">
      <c r="A9" s="12">
        <f t="shared" si="0"/>
        <v>4</v>
      </c>
      <c r="B9" s="12" t="s">
        <v>35</v>
      </c>
      <c r="C9" s="12" t="s">
        <v>36</v>
      </c>
      <c r="D9" s="14">
        <v>5500</v>
      </c>
      <c r="E9" s="14">
        <v>60</v>
      </c>
      <c r="F9" s="18" t="s">
        <v>37</v>
      </c>
      <c r="G9" s="18" t="s">
        <v>37</v>
      </c>
      <c r="H9" s="14">
        <v>1000</v>
      </c>
      <c r="I9" s="14">
        <v>60</v>
      </c>
      <c r="J9" s="18" t="s">
        <v>37</v>
      </c>
      <c r="K9" s="18" t="s">
        <v>37</v>
      </c>
      <c r="L9" s="17" t="s">
        <v>38</v>
      </c>
    </row>
    <row r="10" spans="1:12" ht="15" customHeight="1" x14ac:dyDescent="0.25">
      <c r="A10" s="12">
        <f t="shared" si="0"/>
        <v>5</v>
      </c>
      <c r="B10" s="12" t="s">
        <v>45</v>
      </c>
      <c r="C10" s="12" t="s">
        <v>46</v>
      </c>
      <c r="D10" s="14"/>
      <c r="E10" s="14"/>
      <c r="F10" s="14"/>
      <c r="G10" s="14"/>
      <c r="H10" s="14"/>
      <c r="I10" s="14"/>
      <c r="J10" s="14"/>
      <c r="K10" s="14"/>
      <c r="L10" s="12" t="s">
        <v>47</v>
      </c>
    </row>
    <row r="11" spans="1:12" ht="15" customHeight="1" x14ac:dyDescent="0.25">
      <c r="A11" s="12">
        <f t="shared" si="0"/>
        <v>6</v>
      </c>
      <c r="B11" s="12" t="s">
        <v>48</v>
      </c>
      <c r="C11" s="12" t="s">
        <v>49</v>
      </c>
      <c r="D11" s="14"/>
      <c r="E11" s="14"/>
      <c r="F11" s="14"/>
      <c r="G11" s="14"/>
      <c r="H11" s="14"/>
      <c r="I11" s="14"/>
      <c r="J11" s="14"/>
      <c r="K11" s="14"/>
      <c r="L11" s="12"/>
    </row>
    <row r="12" spans="1:12" ht="15" customHeight="1" x14ac:dyDescent="0.25">
      <c r="A12" s="12">
        <f t="shared" si="0"/>
        <v>7</v>
      </c>
      <c r="B12" s="12"/>
      <c r="C12" s="12"/>
      <c r="D12" s="14"/>
      <c r="E12" s="14"/>
      <c r="F12" s="14"/>
      <c r="G12" s="14"/>
      <c r="H12" s="14"/>
      <c r="I12" s="14"/>
      <c r="J12" s="14"/>
      <c r="K12" s="14"/>
      <c r="L12" s="12"/>
    </row>
    <row r="13" spans="1:12" ht="15" customHeight="1" x14ac:dyDescent="0.25">
      <c r="A13" s="12">
        <f t="shared" si="0"/>
        <v>8</v>
      </c>
      <c r="B13" s="12" t="s">
        <v>28</v>
      </c>
      <c r="C13" s="12"/>
      <c r="D13" s="14"/>
      <c r="E13" s="14"/>
      <c r="F13" s="14"/>
      <c r="G13" s="14"/>
      <c r="H13" s="14"/>
      <c r="I13" s="14"/>
      <c r="J13" s="14"/>
      <c r="K13" s="14"/>
      <c r="L13" s="12"/>
    </row>
    <row r="14" spans="1:12" ht="15" customHeight="1" x14ac:dyDescent="0.25">
      <c r="A14" s="12">
        <f t="shared" si="0"/>
        <v>9</v>
      </c>
      <c r="B14" s="12"/>
      <c r="C14" s="12"/>
      <c r="D14" s="14"/>
      <c r="E14" s="14"/>
      <c r="F14" s="14"/>
      <c r="G14" s="14"/>
      <c r="H14" s="14"/>
      <c r="I14" s="14"/>
      <c r="J14" s="14"/>
      <c r="K14" s="14"/>
      <c r="L14" s="12"/>
    </row>
    <row r="15" spans="1:12" ht="15" customHeight="1" x14ac:dyDescent="0.25">
      <c r="A15" s="12">
        <f t="shared" si="0"/>
        <v>10</v>
      </c>
      <c r="B15" s="12"/>
      <c r="C15" s="12"/>
      <c r="D15" s="14"/>
      <c r="E15" s="14"/>
      <c r="F15" s="14"/>
      <c r="G15" s="14"/>
      <c r="H15" s="14"/>
      <c r="I15" s="14"/>
      <c r="J15" s="14"/>
      <c r="K15" s="14"/>
      <c r="L15" s="12"/>
    </row>
    <row r="16" spans="1:12" ht="15" customHeight="1" x14ac:dyDescent="0.25">
      <c r="A16" s="12">
        <f t="shared" si="0"/>
        <v>11</v>
      </c>
      <c r="B16" s="12" t="s">
        <v>40</v>
      </c>
      <c r="C16" s="12" t="s">
        <v>41</v>
      </c>
      <c r="D16" s="14">
        <v>3000</v>
      </c>
      <c r="E16" s="14">
        <v>50</v>
      </c>
      <c r="F16" s="14">
        <v>45</v>
      </c>
      <c r="G16" s="14">
        <v>40</v>
      </c>
      <c r="H16" s="14">
        <v>800</v>
      </c>
      <c r="I16" s="14">
        <v>50</v>
      </c>
      <c r="J16" s="14">
        <v>45</v>
      </c>
      <c r="K16" s="14">
        <v>40</v>
      </c>
      <c r="L16" s="12"/>
    </row>
    <row r="17" spans="1:12" ht="15" customHeight="1" x14ac:dyDescent="0.25">
      <c r="A17" s="12">
        <f t="shared" si="0"/>
        <v>12</v>
      </c>
      <c r="B17" s="12"/>
      <c r="C17" s="12"/>
      <c r="D17" s="14"/>
      <c r="E17" s="14"/>
      <c r="F17" s="14"/>
      <c r="G17" s="14"/>
      <c r="H17" s="14"/>
      <c r="I17" s="14"/>
      <c r="J17" s="14"/>
      <c r="K17" s="14"/>
      <c r="L17" s="12"/>
    </row>
    <row r="18" spans="1:12" ht="15" customHeight="1" x14ac:dyDescent="0.25">
      <c r="A18" s="12">
        <f t="shared" si="0"/>
        <v>13</v>
      </c>
      <c r="B18" s="12"/>
      <c r="C18" s="12"/>
      <c r="D18" s="14"/>
      <c r="E18" s="14"/>
      <c r="F18" s="14"/>
      <c r="G18" s="14"/>
      <c r="H18" s="14"/>
      <c r="I18" s="14"/>
      <c r="J18" s="14"/>
      <c r="K18" s="14"/>
      <c r="L18" s="12"/>
    </row>
    <row r="19" spans="1:12" ht="15" customHeight="1" x14ac:dyDescent="0.25">
      <c r="A19" s="12">
        <f t="shared" si="0"/>
        <v>14</v>
      </c>
      <c r="B19" s="12" t="s">
        <v>31</v>
      </c>
      <c r="C19" s="12" t="s">
        <v>32</v>
      </c>
      <c r="D19" s="14">
        <v>2000</v>
      </c>
      <c r="E19" s="14"/>
      <c r="F19" s="14"/>
      <c r="G19" s="14"/>
      <c r="H19" s="14">
        <v>1000</v>
      </c>
      <c r="I19" s="14"/>
      <c r="J19" s="14"/>
      <c r="K19" s="14"/>
      <c r="L19" s="17" t="s">
        <v>33</v>
      </c>
    </row>
    <row r="20" spans="1:12" ht="15" customHeight="1" x14ac:dyDescent="0.25">
      <c r="A20" s="12">
        <f t="shared" si="0"/>
        <v>15</v>
      </c>
      <c r="B20" s="12" t="s">
        <v>42</v>
      </c>
      <c r="C20" s="12" t="s">
        <v>43</v>
      </c>
      <c r="D20" s="14">
        <v>3000</v>
      </c>
      <c r="E20" s="14"/>
      <c r="F20" s="14"/>
      <c r="G20" s="14"/>
      <c r="H20" s="14"/>
      <c r="I20" s="14"/>
      <c r="J20" s="14"/>
      <c r="K20" s="14"/>
      <c r="L20" s="12" t="s">
        <v>44</v>
      </c>
    </row>
    <row r="21" spans="1:12" ht="15" customHeight="1" x14ac:dyDescent="0.25">
      <c r="A21" s="12">
        <f t="shared" si="0"/>
        <v>16</v>
      </c>
      <c r="B21" s="12"/>
      <c r="C21" s="12"/>
      <c r="D21" s="14"/>
      <c r="E21" s="14"/>
      <c r="F21" s="14"/>
      <c r="G21" s="14"/>
      <c r="H21" s="14"/>
      <c r="I21" s="14"/>
      <c r="J21" s="14"/>
      <c r="K21" s="14"/>
      <c r="L21" s="12"/>
    </row>
    <row r="22" spans="1:12" ht="15" customHeight="1" x14ac:dyDescent="0.25">
      <c r="A22" s="12">
        <f t="shared" si="0"/>
        <v>17</v>
      </c>
      <c r="B22" s="12"/>
      <c r="C22" s="12"/>
      <c r="D22" s="14"/>
      <c r="E22" s="14"/>
      <c r="F22" s="14"/>
      <c r="G22" s="14"/>
      <c r="H22" s="14"/>
      <c r="I22" s="14"/>
      <c r="J22" s="14"/>
      <c r="K22" s="14"/>
      <c r="L22" s="12"/>
    </row>
    <row r="23" spans="1:12" ht="15" customHeight="1" x14ac:dyDescent="0.25">
      <c r="A23" s="12">
        <f t="shared" si="0"/>
        <v>18</v>
      </c>
      <c r="B23" s="12"/>
      <c r="C23" s="12"/>
      <c r="D23" s="14"/>
      <c r="E23" s="14"/>
      <c r="F23" s="14"/>
      <c r="G23" s="14"/>
      <c r="H23" s="14"/>
      <c r="I23" s="14"/>
      <c r="J23" s="14"/>
      <c r="K23" s="14"/>
      <c r="L23" s="12"/>
    </row>
    <row r="24" spans="1:12" ht="15" customHeight="1" x14ac:dyDescent="0.25">
      <c r="A24" s="12">
        <f t="shared" si="0"/>
        <v>19</v>
      </c>
      <c r="B24" s="12"/>
      <c r="C24" s="12"/>
      <c r="D24" s="14"/>
      <c r="E24" s="14"/>
      <c r="F24" s="14"/>
      <c r="G24" s="14"/>
      <c r="H24" s="14"/>
      <c r="I24" s="14"/>
      <c r="J24" s="14"/>
      <c r="K24" s="14"/>
      <c r="L24" s="12"/>
    </row>
    <row r="25" spans="1:12" ht="15" customHeight="1" x14ac:dyDescent="0.25">
      <c r="A25" s="12">
        <f t="shared" si="0"/>
        <v>20</v>
      </c>
      <c r="B25" s="12"/>
      <c r="C25" s="12"/>
      <c r="D25" s="14"/>
      <c r="E25" s="14"/>
      <c r="F25" s="14"/>
      <c r="G25" s="14"/>
      <c r="H25" s="14"/>
      <c r="I25" s="14"/>
      <c r="J25" s="14"/>
      <c r="K25" s="14"/>
      <c r="L25" s="12"/>
    </row>
    <row r="26" spans="1:12" ht="15" customHeight="1" x14ac:dyDescent="0.25">
      <c r="A26" s="12">
        <f t="shared" si="0"/>
        <v>21</v>
      </c>
      <c r="B26" s="16"/>
      <c r="C26" s="16"/>
      <c r="D26" s="16"/>
      <c r="E26" s="16"/>
      <c r="F26" s="16"/>
      <c r="G26" s="16"/>
      <c r="H26" s="16"/>
      <c r="I26" s="16"/>
      <c r="J26" s="16"/>
      <c r="K26" s="16"/>
      <c r="L26" s="12"/>
    </row>
    <row r="27" spans="1:12" ht="15" customHeight="1" x14ac:dyDescent="0.25">
      <c r="A27" s="12">
        <f t="shared" si="0"/>
        <v>22</v>
      </c>
      <c r="B27" s="16"/>
      <c r="C27" s="16"/>
      <c r="D27" s="16"/>
      <c r="E27" s="16"/>
      <c r="F27" s="16"/>
      <c r="G27" s="16"/>
      <c r="H27" s="16"/>
      <c r="I27" s="16"/>
      <c r="J27" s="16"/>
      <c r="K27" s="16"/>
      <c r="L27" s="12"/>
    </row>
    <row r="28" spans="1:12" ht="15" customHeight="1" x14ac:dyDescent="0.25">
      <c r="A28" s="12">
        <f t="shared" si="0"/>
        <v>23</v>
      </c>
      <c r="B28" s="16"/>
      <c r="C28" s="16"/>
      <c r="D28" s="16"/>
      <c r="E28" s="16"/>
      <c r="F28" s="16"/>
      <c r="G28" s="16"/>
      <c r="H28" s="16"/>
      <c r="I28" s="16"/>
      <c r="J28" s="16"/>
      <c r="K28" s="16"/>
      <c r="L28" s="12"/>
    </row>
    <row r="29" spans="1:12" ht="15" customHeight="1" x14ac:dyDescent="0.25">
      <c r="A29" s="12">
        <f t="shared" si="0"/>
        <v>24</v>
      </c>
      <c r="B29" s="16"/>
      <c r="C29" s="16"/>
      <c r="D29" s="16"/>
      <c r="E29" s="16"/>
      <c r="F29" s="16"/>
      <c r="G29" s="16"/>
      <c r="H29" s="16"/>
      <c r="I29" s="16"/>
      <c r="J29" s="16"/>
      <c r="K29" s="16"/>
      <c r="L29" s="12"/>
    </row>
    <row r="30" spans="1:12" ht="15" customHeight="1" x14ac:dyDescent="0.25">
      <c r="A30" s="12">
        <f t="shared" si="0"/>
        <v>25</v>
      </c>
      <c r="B30" s="16"/>
      <c r="C30" s="16"/>
      <c r="D30" s="16"/>
      <c r="E30" s="16"/>
      <c r="F30" s="16"/>
      <c r="G30" s="16"/>
      <c r="H30" s="16"/>
      <c r="I30" s="16"/>
      <c r="J30" s="16"/>
      <c r="K30" s="16"/>
      <c r="L30" s="12"/>
    </row>
    <row r="31" spans="1:12" ht="15" customHeight="1" x14ac:dyDescent="0.25">
      <c r="A31" s="12">
        <f t="shared" si="0"/>
        <v>26</v>
      </c>
      <c r="B31" s="16"/>
      <c r="C31" s="16"/>
      <c r="D31" s="16"/>
      <c r="E31" s="16"/>
      <c r="F31" s="16"/>
      <c r="G31" s="16"/>
      <c r="H31" s="16"/>
      <c r="I31" s="16"/>
      <c r="J31" s="16"/>
      <c r="K31" s="16"/>
      <c r="L31" s="12"/>
    </row>
    <row r="32" spans="1:12" ht="15" customHeight="1" x14ac:dyDescent="0.25">
      <c r="A32" s="12">
        <f t="shared" si="0"/>
        <v>27</v>
      </c>
      <c r="B32" s="16"/>
      <c r="C32" s="16"/>
      <c r="D32" s="16"/>
      <c r="E32" s="16"/>
      <c r="F32" s="16"/>
      <c r="G32" s="16"/>
      <c r="H32" s="16"/>
      <c r="I32" s="16"/>
      <c r="J32" s="16"/>
      <c r="K32" s="16"/>
      <c r="L32" s="12"/>
    </row>
    <row r="33" spans="1:12" ht="15" customHeight="1" x14ac:dyDescent="0.25">
      <c r="A33" s="12">
        <f t="shared" si="0"/>
        <v>28</v>
      </c>
      <c r="B33" s="16"/>
      <c r="C33" s="16"/>
      <c r="D33" s="16"/>
      <c r="E33" s="16"/>
      <c r="F33" s="16"/>
      <c r="G33" s="16"/>
      <c r="H33" s="16"/>
      <c r="I33" s="16"/>
      <c r="J33" s="16"/>
      <c r="K33" s="16"/>
      <c r="L33" s="12"/>
    </row>
    <row r="34" spans="1:12" ht="15" customHeight="1" x14ac:dyDescent="0.25">
      <c r="A34" s="12">
        <f t="shared" si="0"/>
        <v>29</v>
      </c>
      <c r="B34" s="16"/>
      <c r="C34" s="16"/>
      <c r="D34" s="16"/>
      <c r="E34" s="16"/>
      <c r="F34" s="16"/>
      <c r="G34" s="16"/>
      <c r="H34" s="16"/>
      <c r="I34" s="16"/>
      <c r="J34" s="16"/>
      <c r="K34" s="16"/>
      <c r="L34" s="12"/>
    </row>
    <row r="35" spans="1:12" ht="15" customHeight="1" x14ac:dyDescent="0.25">
      <c r="A35" s="12">
        <f t="shared" si="0"/>
        <v>30</v>
      </c>
      <c r="B35" s="16"/>
      <c r="C35" s="16"/>
      <c r="D35" s="16"/>
      <c r="E35" s="16"/>
      <c r="F35" s="16"/>
      <c r="G35" s="16"/>
      <c r="H35" s="16"/>
      <c r="I35" s="16"/>
      <c r="J35" s="16"/>
      <c r="K35" s="16"/>
      <c r="L35" s="12"/>
    </row>
    <row r="36" spans="1:12" ht="15" customHeight="1" x14ac:dyDescent="0.25">
      <c r="A36" s="12">
        <f t="shared" si="0"/>
        <v>31</v>
      </c>
      <c r="B36" s="16"/>
      <c r="C36" s="16"/>
      <c r="D36" s="16"/>
      <c r="E36" s="16"/>
      <c r="F36" s="16"/>
      <c r="G36" s="16"/>
      <c r="H36" s="16"/>
      <c r="I36" s="16"/>
      <c r="J36" s="16"/>
      <c r="K36" s="16"/>
      <c r="L36" s="12"/>
    </row>
  </sheetData>
  <mergeCells count="10">
    <mergeCell ref="L2:L5"/>
    <mergeCell ref="H3:K3"/>
    <mergeCell ref="I4:K4"/>
    <mergeCell ref="H4:H5"/>
    <mergeCell ref="A3:A5"/>
    <mergeCell ref="B3:B5"/>
    <mergeCell ref="C3:C5"/>
    <mergeCell ref="D3:G3"/>
    <mergeCell ref="E4:G4"/>
    <mergeCell ref="D4:D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TH 2021 - 2025</vt:lpstr>
      <vt:lpstr>dự kiến 2026-2030</vt:lpstr>
      <vt:lpstr>CÁC TỈNH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2026-09-15T09:45:40Z</dcterms:modified>
</cp:coreProperties>
</file>