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mc:AlternateContent xmlns:mc="http://schemas.openxmlformats.org/markup-compatibility/2006">
    <mc:Choice Requires="x15">
      <x15ac:absPath xmlns:x15ac="http://schemas.microsoft.com/office/spreadsheetml/2010/11/ac" url="D:\Năm 2026- Lần 02\Nghị quyết của HĐND tỉnh\Dự thảo NQ nguyên tắc, tiêu chí\B3 - Soạn thảo\B2-5\Chuẩn bị họp Tổ soạn thảo\Sau góp ý của STC\Hồ sơ sau lần 02\"/>
    </mc:Choice>
  </mc:AlternateContent>
  <xr:revisionPtr revIDLastSave="0" documentId="13_ncr:1_{6519609E-5E8C-4030-AD0D-9184CA446F48}" xr6:coauthVersionLast="47" xr6:coauthVersionMax="47" xr10:uidLastSave="{00000000-0000-0000-0000-000000000000}"/>
  <bookViews>
    <workbookView xWindow="-108" yWindow="-108" windowWidth="23256" windowHeight="12456" xr2:uid="{00000000-000D-0000-FFFF-FFFF00000000}"/>
  </bookViews>
  <sheets>
    <sheet name="Sheet1" sheetId="1" r:id="rId1"/>
    <sheet name="Sheet2" sheetId="2" state="hidden" r:id="rId2"/>
  </sheets>
  <definedNames>
    <definedName name="_xlnm._FilterDatabase" localSheetId="0" hidden="1">Sheet1!$B$4:$B$74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1" l="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10" i="1"/>
  <c r="V6" i="2"/>
  <c r="V7" i="2"/>
  <c r="V8" i="2"/>
  <c r="V9" i="2"/>
  <c r="V10" i="2"/>
  <c r="V11" i="2"/>
  <c r="V12" i="2"/>
  <c r="V13" i="2"/>
  <c r="V14" i="2"/>
  <c r="V15" i="2"/>
  <c r="V16" i="2"/>
  <c r="V17" i="2"/>
  <c r="V18" i="2"/>
  <c r="V19" i="2"/>
  <c r="V20" i="2"/>
  <c r="V21" i="2"/>
  <c r="V22" i="2"/>
  <c r="V23" i="2"/>
  <c r="V24" i="2"/>
  <c r="V25" i="2"/>
  <c r="V26" i="2"/>
  <c r="V27" i="2"/>
  <c r="V28" i="2"/>
  <c r="V29" i="2"/>
  <c r="V30" i="2"/>
  <c r="V31" i="2"/>
  <c r="V32" i="2"/>
  <c r="V33" i="2"/>
  <c r="V34" i="2"/>
  <c r="V35" i="2"/>
  <c r="V36" i="2"/>
  <c r="V37" i="2"/>
  <c r="V38" i="2"/>
  <c r="V39" i="2"/>
  <c r="V40" i="2"/>
  <c r="V41" i="2"/>
  <c r="V42" i="2"/>
  <c r="V43" i="2"/>
  <c r="V44" i="2"/>
  <c r="V45" i="2"/>
  <c r="V46" i="2"/>
  <c r="V47" i="2"/>
  <c r="V48" i="2"/>
  <c r="V49" i="2"/>
  <c r="V50" i="2"/>
  <c r="V51" i="2"/>
  <c r="V52" i="2"/>
  <c r="V53" i="2"/>
  <c r="V54" i="2"/>
  <c r="V55" i="2"/>
  <c r="V56" i="2"/>
  <c r="V57" i="2"/>
  <c r="V58" i="2"/>
  <c r="V59" i="2"/>
  <c r="V60" i="2"/>
  <c r="V61" i="2"/>
  <c r="V62" i="2"/>
  <c r="V63" i="2"/>
  <c r="V64" i="2"/>
  <c r="V65" i="2"/>
  <c r="V66" i="2"/>
  <c r="V67" i="2"/>
  <c r="V68" i="2"/>
  <c r="V5" i="2"/>
  <c r="U6" i="2"/>
  <c r="U7" i="2"/>
  <c r="U8" i="2"/>
  <c r="U9" i="2"/>
  <c r="U10" i="2"/>
  <c r="U11" i="2"/>
  <c r="U12" i="2"/>
  <c r="U13" i="2"/>
  <c r="U14" i="2"/>
  <c r="U15" i="2"/>
  <c r="U16" i="2"/>
  <c r="U17" i="2"/>
  <c r="U18" i="2"/>
  <c r="U19" i="2"/>
  <c r="U20" i="2"/>
  <c r="U21" i="2"/>
  <c r="U22" i="2"/>
  <c r="U23" i="2"/>
  <c r="U24" i="2"/>
  <c r="U25" i="2"/>
  <c r="U26" i="2"/>
  <c r="U27" i="2"/>
  <c r="U28" i="2"/>
  <c r="U29" i="2"/>
  <c r="U30" i="2"/>
  <c r="U31" i="2"/>
  <c r="U32" i="2"/>
  <c r="U33" i="2"/>
  <c r="U34" i="2"/>
  <c r="U35" i="2"/>
  <c r="U36" i="2"/>
  <c r="U37" i="2"/>
  <c r="U38" i="2"/>
  <c r="U39" i="2"/>
  <c r="U40" i="2"/>
  <c r="U41" i="2"/>
  <c r="U42" i="2"/>
  <c r="U43" i="2"/>
  <c r="U44" i="2"/>
  <c r="U45" i="2"/>
  <c r="U46" i="2"/>
  <c r="U47" i="2"/>
  <c r="U48" i="2"/>
  <c r="U49" i="2"/>
  <c r="U50" i="2"/>
  <c r="U51" i="2"/>
  <c r="U52" i="2"/>
  <c r="U53" i="2"/>
  <c r="U54" i="2"/>
  <c r="U55" i="2"/>
  <c r="U56" i="2"/>
  <c r="U57" i="2"/>
  <c r="U58" i="2"/>
  <c r="U59" i="2"/>
  <c r="U60" i="2"/>
  <c r="U61" i="2"/>
  <c r="U62" i="2"/>
  <c r="U63" i="2"/>
  <c r="U64" i="2"/>
  <c r="U65" i="2"/>
  <c r="U66" i="2"/>
  <c r="U67" i="2"/>
  <c r="U68" i="2"/>
  <c r="U5" i="2"/>
  <c r="W7" i="1"/>
  <c r="V7" i="1"/>
  <c r="M16" i="1"/>
  <c r="M18" i="1"/>
  <c r="M19" i="1"/>
  <c r="M28" i="1"/>
  <c r="M36" i="1"/>
  <c r="M37" i="1"/>
  <c r="M38" i="1"/>
  <c r="M45" i="1"/>
  <c r="M50" i="1"/>
  <c r="M53" i="1"/>
  <c r="M54" i="1"/>
  <c r="M61" i="1"/>
  <c r="M64" i="1"/>
  <c r="M65" i="1"/>
  <c r="M66" i="1"/>
  <c r="M67" i="1"/>
  <c r="P16" i="1"/>
  <c r="P18" i="1"/>
  <c r="P19" i="1"/>
  <c r="P28" i="1"/>
  <c r="P36" i="1"/>
  <c r="P37" i="1"/>
  <c r="P38" i="1"/>
  <c r="P45" i="1"/>
  <c r="P50" i="1"/>
  <c r="P53" i="1"/>
  <c r="P54" i="1"/>
  <c r="P61" i="1"/>
  <c r="P64" i="1"/>
  <c r="P65" i="1"/>
  <c r="P66" i="1"/>
  <c r="P67" i="1"/>
  <c r="M6" i="2"/>
  <c r="L6" i="2"/>
  <c r="S74" i="1"/>
  <c r="S73" i="1"/>
  <c r="L73" i="1"/>
  <c r="E73" i="1"/>
  <c r="S72" i="1"/>
  <c r="L72" i="1"/>
  <c r="E72" i="1"/>
  <c r="S71" i="1"/>
  <c r="L71" i="1"/>
  <c r="E71" i="1"/>
  <c r="S70" i="1"/>
  <c r="L70" i="1"/>
  <c r="E70" i="1"/>
  <c r="S69" i="1"/>
  <c r="L69" i="1"/>
  <c r="E69" i="1"/>
  <c r="S68" i="1"/>
  <c r="L68" i="1"/>
  <c r="E68" i="1"/>
  <c r="S67" i="1"/>
  <c r="L67" i="1"/>
  <c r="S66" i="1"/>
  <c r="L66" i="1"/>
  <c r="S65" i="1"/>
  <c r="L65" i="1"/>
  <c r="S64" i="1"/>
  <c r="L64" i="1"/>
  <c r="S63" i="1"/>
  <c r="L63" i="1"/>
  <c r="E63" i="1"/>
  <c r="S62" i="1"/>
  <c r="L62" i="1"/>
  <c r="E62" i="1"/>
  <c r="S61" i="1"/>
  <c r="L61" i="1"/>
  <c r="S60" i="1"/>
  <c r="L60" i="1"/>
  <c r="E60" i="1"/>
  <c r="S59" i="1"/>
  <c r="L59" i="1"/>
  <c r="E59" i="1"/>
  <c r="S58" i="1"/>
  <c r="L58" i="1"/>
  <c r="E58" i="1"/>
  <c r="S57" i="1"/>
  <c r="L57" i="1"/>
  <c r="E57" i="1"/>
  <c r="S56" i="1"/>
  <c r="L56" i="1"/>
  <c r="E56" i="1"/>
  <c r="S55" i="1"/>
  <c r="L55" i="1"/>
  <c r="E55" i="1"/>
  <c r="S54" i="1"/>
  <c r="L54" i="1"/>
  <c r="S53" i="1"/>
  <c r="L53" i="1"/>
  <c r="S52" i="1"/>
  <c r="L52" i="1"/>
  <c r="E52" i="1"/>
  <c r="S51" i="1"/>
  <c r="L51" i="1"/>
  <c r="E51" i="1"/>
  <c r="S50" i="1"/>
  <c r="L50" i="1"/>
  <c r="S49" i="1"/>
  <c r="L49" i="1"/>
  <c r="E49" i="1"/>
  <c r="T48" i="1"/>
  <c r="S48" i="1"/>
  <c r="L48" i="1"/>
  <c r="E48" i="1"/>
  <c r="S47" i="1"/>
  <c r="L47" i="1"/>
  <c r="E47" i="1"/>
  <c r="S46" i="1"/>
  <c r="L46" i="1"/>
  <c r="E46" i="1"/>
  <c r="S45" i="1"/>
  <c r="L45" i="1"/>
  <c r="S44" i="1"/>
  <c r="L44" i="1"/>
  <c r="E44" i="1"/>
  <c r="S43" i="1"/>
  <c r="L43" i="1"/>
  <c r="E43" i="1"/>
  <c r="S42" i="1"/>
  <c r="L42" i="1"/>
  <c r="E42" i="1"/>
  <c r="S41" i="1"/>
  <c r="L41" i="1"/>
  <c r="E41" i="1"/>
  <c r="S40" i="1"/>
  <c r="L40" i="1"/>
  <c r="E40" i="1"/>
  <c r="S39" i="1"/>
  <c r="L39" i="1"/>
  <c r="E39" i="1"/>
  <c r="S38" i="1"/>
  <c r="L38" i="1"/>
  <c r="S37" i="1"/>
  <c r="L37" i="1"/>
  <c r="S36" i="1"/>
  <c r="L36" i="1"/>
  <c r="S35" i="1"/>
  <c r="L35" i="1"/>
  <c r="E35" i="1"/>
  <c r="S34" i="1"/>
  <c r="L34" i="1"/>
  <c r="E34" i="1"/>
  <c r="S33" i="1"/>
  <c r="L33" i="1"/>
  <c r="E33" i="1"/>
  <c r="S32" i="1"/>
  <c r="L32" i="1"/>
  <c r="E32" i="1"/>
  <c r="S31" i="1"/>
  <c r="L31" i="1"/>
  <c r="E31" i="1"/>
  <c r="S30" i="1"/>
  <c r="L30" i="1"/>
  <c r="E30" i="1"/>
  <c r="S29" i="1"/>
  <c r="L29" i="1"/>
  <c r="E29" i="1"/>
  <c r="S28" i="1"/>
  <c r="L28" i="1"/>
  <c r="S27" i="1"/>
  <c r="L27" i="1"/>
  <c r="E27" i="1"/>
  <c r="S26" i="1"/>
  <c r="L26" i="1"/>
  <c r="E26" i="1"/>
  <c r="S25" i="1"/>
  <c r="L25" i="1"/>
  <c r="E25" i="1"/>
  <c r="S24" i="1"/>
  <c r="L24" i="1"/>
  <c r="E24" i="1"/>
  <c r="S23" i="1"/>
  <c r="L23" i="1"/>
  <c r="E23" i="1"/>
  <c r="S22" i="1"/>
  <c r="L22" i="1"/>
  <c r="E22" i="1"/>
  <c r="S21" i="1"/>
  <c r="L21" i="1"/>
  <c r="E21" i="1"/>
  <c r="S20" i="1"/>
  <c r="L20" i="1"/>
  <c r="E20" i="1"/>
  <c r="S19" i="1"/>
  <c r="L19" i="1"/>
  <c r="S18" i="1"/>
  <c r="L18" i="1"/>
  <c r="S17" i="1"/>
  <c r="L17" i="1"/>
  <c r="E17" i="1"/>
  <c r="S16" i="1"/>
  <c r="L16" i="1"/>
  <c r="S15" i="1"/>
  <c r="L15" i="1"/>
  <c r="E15" i="1"/>
  <c r="S14" i="1"/>
  <c r="L14" i="1"/>
  <c r="E14" i="1"/>
  <c r="S13" i="1"/>
  <c r="L13" i="1"/>
  <c r="E13" i="1"/>
  <c r="S12" i="1"/>
  <c r="L12" i="1"/>
  <c r="E12" i="1"/>
  <c r="S11" i="1"/>
  <c r="L11" i="1"/>
  <c r="E11" i="1"/>
  <c r="S10" i="1"/>
  <c r="L10" i="1"/>
  <c r="E10" i="1"/>
  <c r="Y8" i="1"/>
  <c r="H7" i="1"/>
  <c r="G7" i="1"/>
  <c r="F7" i="1"/>
  <c r="D7" i="1"/>
  <c r="U8" i="1" l="1"/>
  <c r="M7" i="2"/>
  <c r="M8" i="2" s="1"/>
  <c r="M9" i="2" s="1"/>
  <c r="L7" i="2"/>
  <c r="M10" i="2"/>
  <c r="M11" i="2" s="1"/>
  <c r="M12" i="2" s="1"/>
  <c r="M13" i="2" s="1"/>
  <c r="V9" i="1"/>
  <c r="M11" i="1"/>
  <c r="M12" i="1"/>
  <c r="M13" i="1"/>
  <c r="M14" i="1"/>
  <c r="M15" i="1"/>
  <c r="M17" i="1"/>
  <c r="M20" i="1"/>
  <c r="M21" i="1"/>
  <c r="M22" i="1"/>
  <c r="M23" i="1"/>
  <c r="M24" i="1"/>
  <c r="M25" i="1"/>
  <c r="M26" i="1"/>
  <c r="M27" i="1"/>
  <c r="M29" i="1"/>
  <c r="M30" i="1"/>
  <c r="M31" i="1"/>
  <c r="M32" i="1"/>
  <c r="M33" i="1"/>
  <c r="M34" i="1"/>
  <c r="M35" i="1"/>
  <c r="M39" i="1"/>
  <c r="M40" i="1"/>
  <c r="M41" i="1"/>
  <c r="M42" i="1"/>
  <c r="M43" i="1"/>
  <c r="M44" i="1"/>
  <c r="M46" i="1"/>
  <c r="M47" i="1"/>
  <c r="M48" i="1"/>
  <c r="M49" i="1"/>
  <c r="P17" i="1"/>
  <c r="P27" i="1"/>
  <c r="P29" i="1"/>
  <c r="P30" i="1"/>
  <c r="P31" i="1"/>
  <c r="P32" i="1"/>
  <c r="P33" i="1"/>
  <c r="P34" i="1"/>
  <c r="P35" i="1"/>
  <c r="P46" i="1"/>
  <c r="P47" i="1"/>
  <c r="P48" i="1"/>
  <c r="P49" i="1"/>
  <c r="P57" i="1"/>
  <c r="P62" i="1"/>
  <c r="P63" i="1"/>
  <c r="P68" i="1"/>
  <c r="P69" i="1"/>
  <c r="P71" i="1"/>
  <c r="P73" i="1"/>
  <c r="O11" i="1"/>
  <c r="O14" i="1"/>
  <c r="O16" i="1"/>
  <c r="O18" i="1"/>
  <c r="O20" i="1"/>
  <c r="O22" i="1"/>
  <c r="O24" i="1"/>
  <c r="O26" i="1"/>
  <c r="O28" i="1"/>
  <c r="O30" i="1"/>
  <c r="O32" i="1"/>
  <c r="O34" i="1"/>
  <c r="O36" i="1"/>
  <c r="O38" i="1"/>
  <c r="O40" i="1"/>
  <c r="O42" i="1"/>
  <c r="O47" i="1"/>
  <c r="O48" i="1"/>
  <c r="O51" i="1"/>
  <c r="O53" i="1"/>
  <c r="O55" i="1"/>
  <c r="O56" i="1"/>
  <c r="O57" i="1"/>
  <c r="O59" i="1"/>
  <c r="O61" i="1"/>
  <c r="O69" i="1"/>
  <c r="O71" i="1"/>
  <c r="O73" i="1"/>
  <c r="O10" i="1"/>
  <c r="M51" i="1"/>
  <c r="M52" i="1"/>
  <c r="M55" i="1"/>
  <c r="M56" i="1"/>
  <c r="M57" i="1"/>
  <c r="M58" i="1"/>
  <c r="M59" i="1"/>
  <c r="M60" i="1"/>
  <c r="M62" i="1"/>
  <c r="M63" i="1"/>
  <c r="M68" i="1"/>
  <c r="M69" i="1"/>
  <c r="M70" i="1"/>
  <c r="M71" i="1"/>
  <c r="M72" i="1"/>
  <c r="M73" i="1"/>
  <c r="M10" i="1"/>
  <c r="P11" i="1"/>
  <c r="P12" i="1"/>
  <c r="P13" i="1"/>
  <c r="P14" i="1"/>
  <c r="P15" i="1"/>
  <c r="P20" i="1"/>
  <c r="P21" i="1"/>
  <c r="P22" i="1"/>
  <c r="P23" i="1"/>
  <c r="P24" i="1"/>
  <c r="P25" i="1"/>
  <c r="P26" i="1"/>
  <c r="P39" i="1"/>
  <c r="P40" i="1"/>
  <c r="P41" i="1"/>
  <c r="P42" i="1"/>
  <c r="P43" i="1"/>
  <c r="P44" i="1"/>
  <c r="P51" i="1"/>
  <c r="P52" i="1"/>
  <c r="P55" i="1"/>
  <c r="P56" i="1"/>
  <c r="P58" i="1"/>
  <c r="P59" i="1"/>
  <c r="P60" i="1"/>
  <c r="P70" i="1"/>
  <c r="P72" i="1"/>
  <c r="P10" i="1"/>
  <c r="O12" i="1"/>
  <c r="O13" i="1"/>
  <c r="O15" i="1"/>
  <c r="O17" i="1"/>
  <c r="O19" i="1"/>
  <c r="O21" i="1"/>
  <c r="O23" i="1"/>
  <c r="O25" i="1"/>
  <c r="O27" i="1"/>
  <c r="O29" i="1"/>
  <c r="O31" i="1"/>
  <c r="O33" i="1"/>
  <c r="O35" i="1"/>
  <c r="O37" i="1"/>
  <c r="O39" i="1"/>
  <c r="O41" i="1"/>
  <c r="O43" i="1"/>
  <c r="O44" i="1"/>
  <c r="O45" i="1"/>
  <c r="O46" i="1"/>
  <c r="O49" i="1"/>
  <c r="O50" i="1"/>
  <c r="O52" i="1"/>
  <c r="O54" i="1"/>
  <c r="O58" i="1"/>
  <c r="O60" i="1"/>
  <c r="O62" i="1"/>
  <c r="O63" i="1"/>
  <c r="O64" i="1"/>
  <c r="O65" i="1"/>
  <c r="O66" i="1"/>
  <c r="O67" i="1"/>
  <c r="O68" i="1"/>
  <c r="O70" i="1"/>
  <c r="O72" i="1"/>
  <c r="K61" i="1"/>
  <c r="K66" i="1"/>
  <c r="K64" i="1"/>
  <c r="K45" i="1"/>
  <c r="K67" i="1"/>
  <c r="K36" i="1"/>
  <c r="K54" i="1"/>
  <c r="K50" i="1"/>
  <c r="R48" i="1"/>
  <c r="K18" i="1"/>
  <c r="K38" i="1"/>
  <c r="K53" i="1"/>
  <c r="L9" i="1"/>
  <c r="K37" i="1"/>
  <c r="K28" i="1"/>
  <c r="K16" i="1"/>
  <c r="K65" i="1"/>
  <c r="K19" i="1"/>
  <c r="N30" i="1" l="1"/>
  <c r="N18" i="1"/>
  <c r="N53" i="1"/>
  <c r="N66" i="1"/>
  <c r="N19" i="1"/>
  <c r="N37" i="1"/>
  <c r="Q9" i="1"/>
  <c r="N67" i="1"/>
  <c r="L8" i="2"/>
  <c r="L9" i="2" s="1"/>
  <c r="L10" i="2" s="1"/>
  <c r="L11" i="2" s="1"/>
  <c r="L12" i="2" s="1"/>
  <c r="L13" i="2" s="1"/>
  <c r="T53" i="1"/>
  <c r="R53" i="1" s="1"/>
  <c r="T11" i="1"/>
  <c r="R11" i="1" s="1"/>
  <c r="N16" i="1"/>
  <c r="N28" i="1"/>
  <c r="N32" i="1"/>
  <c r="N50" i="1"/>
  <c r="N65" i="1"/>
  <c r="N34" i="1"/>
  <c r="N36" i="1"/>
  <c r="N38" i="1"/>
  <c r="N61" i="1"/>
  <c r="N45" i="1"/>
  <c r="N54" i="1"/>
  <c r="N64" i="1"/>
  <c r="N12" i="1"/>
  <c r="N13" i="1"/>
  <c r="N15" i="1"/>
  <c r="N25" i="1"/>
  <c r="K70" i="1"/>
  <c r="K69" i="1"/>
  <c r="K68" i="1"/>
  <c r="K63" i="1"/>
  <c r="K62" i="1"/>
  <c r="K60" i="1"/>
  <c r="K59" i="1"/>
  <c r="K58" i="1"/>
  <c r="K57" i="1"/>
  <c r="K56" i="1"/>
  <c r="K55" i="1"/>
  <c r="K52" i="1"/>
  <c r="W9" i="1"/>
  <c r="N47" i="1"/>
  <c r="N48" i="1"/>
  <c r="N57" i="1"/>
  <c r="N69" i="1"/>
  <c r="N71" i="1"/>
  <c r="N73" i="1"/>
  <c r="P9" i="1"/>
  <c r="N27" i="1"/>
  <c r="N29" i="1"/>
  <c r="N31" i="1"/>
  <c r="N33" i="1"/>
  <c r="N35" i="1"/>
  <c r="N46" i="1"/>
  <c r="N49" i="1"/>
  <c r="N62" i="1"/>
  <c r="N63" i="1"/>
  <c r="N68" i="1"/>
  <c r="K48" i="1"/>
  <c r="K47" i="1"/>
  <c r="N17" i="1"/>
  <c r="N21" i="1"/>
  <c r="N23" i="1"/>
  <c r="K51" i="1"/>
  <c r="K49" i="1"/>
  <c r="N10" i="1"/>
  <c r="O9" i="1"/>
  <c r="N11" i="1"/>
  <c r="N14" i="1"/>
  <c r="N20" i="1"/>
  <c r="N22" i="1"/>
  <c r="N24" i="1"/>
  <c r="N26" i="1"/>
  <c r="N40" i="1"/>
  <c r="N42" i="1"/>
  <c r="N51" i="1"/>
  <c r="N55" i="1"/>
  <c r="N56" i="1"/>
  <c r="N59" i="1"/>
  <c r="N39" i="1"/>
  <c r="N41" i="1"/>
  <c r="N43" i="1"/>
  <c r="N44" i="1"/>
  <c r="N52" i="1"/>
  <c r="N58" i="1"/>
  <c r="N60" i="1"/>
  <c r="N70" i="1"/>
  <c r="N72" i="1"/>
  <c r="K73" i="1"/>
  <c r="K72" i="1"/>
  <c r="K71" i="1"/>
  <c r="K43" i="1"/>
  <c r="K42" i="1"/>
  <c r="K44" i="1"/>
  <c r="K46" i="1"/>
  <c r="K41" i="1"/>
  <c r="K40" i="1"/>
  <c r="K39" i="1"/>
  <c r="K35" i="1"/>
  <c r="K34" i="1"/>
  <c r="K33" i="1"/>
  <c r="K32" i="1"/>
  <c r="K31" i="1"/>
  <c r="K27" i="1"/>
  <c r="K26" i="1"/>
  <c r="K22" i="1"/>
  <c r="K15" i="1"/>
  <c r="K14" i="1"/>
  <c r="K11" i="1"/>
  <c r="K30" i="1"/>
  <c r="K29" i="1"/>
  <c r="K20" i="1"/>
  <c r="K17" i="1"/>
  <c r="K24" i="1"/>
  <c r="K23" i="1"/>
  <c r="K21" i="1"/>
  <c r="K13" i="1"/>
  <c r="K12" i="1"/>
  <c r="K25" i="1"/>
  <c r="M9" i="1"/>
  <c r="K10" i="1"/>
  <c r="T14" i="1" l="1"/>
  <c r="R14" i="1" s="1"/>
  <c r="T24" i="1"/>
  <c r="R24" i="1" s="1"/>
  <c r="T33" i="1"/>
  <c r="R33" i="1" s="1"/>
  <c r="T35" i="1"/>
  <c r="R35" i="1" s="1"/>
  <c r="T38" i="1"/>
  <c r="R38" i="1" s="1"/>
  <c r="T50" i="1"/>
  <c r="R50" i="1" s="1"/>
  <c r="T61" i="1"/>
  <c r="R61" i="1" s="1"/>
  <c r="T63" i="1"/>
  <c r="R63" i="1" s="1"/>
  <c r="T66" i="1"/>
  <c r="R66" i="1" s="1"/>
  <c r="T23" i="1"/>
  <c r="R23" i="1" s="1"/>
  <c r="T29" i="1"/>
  <c r="R29" i="1" s="1"/>
  <c r="T34" i="1"/>
  <c r="R34" i="1" s="1"/>
  <c r="T45" i="1"/>
  <c r="R45" i="1" s="1"/>
  <c r="T49" i="1"/>
  <c r="R49" i="1" s="1"/>
  <c r="T62" i="1"/>
  <c r="R62" i="1" s="1"/>
  <c r="T15" i="1"/>
  <c r="R15" i="1" s="1"/>
  <c r="T26" i="1"/>
  <c r="R26" i="1" s="1"/>
  <c r="T68" i="1"/>
  <c r="R68" i="1" s="1"/>
  <c r="T73" i="1"/>
  <c r="R73" i="1" s="1"/>
  <c r="T22" i="1"/>
  <c r="R22" i="1" s="1"/>
  <c r="T12" i="1"/>
  <c r="R12" i="1" s="1"/>
  <c r="T16" i="1"/>
  <c r="R16" i="1" s="1"/>
  <c r="T36" i="1"/>
  <c r="R36" i="1" s="1"/>
  <c r="T17" i="1"/>
  <c r="R17" i="1" s="1"/>
  <c r="T37" i="1"/>
  <c r="R37" i="1" s="1"/>
  <c r="T42" i="1"/>
  <c r="R42" i="1" s="1"/>
  <c r="T44" i="1"/>
  <c r="R44" i="1" s="1"/>
  <c r="T47" i="1"/>
  <c r="R47" i="1" s="1"/>
  <c r="T27" i="1"/>
  <c r="R27" i="1" s="1"/>
  <c r="T40" i="1"/>
  <c r="R40" i="1" s="1"/>
  <c r="T43" i="1"/>
  <c r="R43" i="1" s="1"/>
  <c r="T56" i="1"/>
  <c r="R56" i="1" s="1"/>
  <c r="T70" i="1"/>
  <c r="R70" i="1" s="1"/>
  <c r="T65" i="1"/>
  <c r="R65" i="1" s="1"/>
  <c r="T19" i="1"/>
  <c r="R19" i="1" s="1"/>
  <c r="T21" i="1"/>
  <c r="R21" i="1" s="1"/>
  <c r="T25" i="1"/>
  <c r="R25" i="1" s="1"/>
  <c r="T28" i="1"/>
  <c r="R28" i="1" s="1"/>
  <c r="T31" i="1"/>
  <c r="R31" i="1" s="1"/>
  <c r="T51" i="1"/>
  <c r="R51" i="1" s="1"/>
  <c r="T54" i="1"/>
  <c r="R54" i="1" s="1"/>
  <c r="T57" i="1"/>
  <c r="R57" i="1" s="1"/>
  <c r="T67" i="1"/>
  <c r="R67" i="1" s="1"/>
  <c r="T71" i="1"/>
  <c r="R71" i="1" s="1"/>
  <c r="T13" i="1"/>
  <c r="R13" i="1" s="1"/>
  <c r="T20" i="1"/>
  <c r="R20" i="1" s="1"/>
  <c r="T30" i="1"/>
  <c r="R30" i="1" s="1"/>
  <c r="T41" i="1"/>
  <c r="R41" i="1" s="1"/>
  <c r="T52" i="1"/>
  <c r="R52" i="1" s="1"/>
  <c r="T59" i="1"/>
  <c r="R59" i="1" s="1"/>
  <c r="T72" i="1"/>
  <c r="R72" i="1" s="1"/>
  <c r="T64" i="1"/>
  <c r="R64" i="1" s="1"/>
  <c r="T32" i="1"/>
  <c r="R32" i="1" s="1"/>
  <c r="T39" i="1"/>
  <c r="R39" i="1" s="1"/>
  <c r="T46" i="1"/>
  <c r="R46" i="1" s="1"/>
  <c r="T55" i="1"/>
  <c r="R55" i="1" s="1"/>
  <c r="T58" i="1"/>
  <c r="R58" i="1" s="1"/>
  <c r="T10" i="1"/>
  <c r="R10" i="1" s="1"/>
  <c r="T18" i="1"/>
  <c r="R18" i="1" s="1"/>
  <c r="T60" i="1"/>
  <c r="R60" i="1" s="1"/>
  <c r="T69" i="1"/>
  <c r="R69" i="1" s="1"/>
  <c r="N9" i="1"/>
  <c r="K9" i="1"/>
  <c r="W11" i="1" l="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10" i="1"/>
  <c r="V11" i="1"/>
  <c r="V12" i="1"/>
  <c r="V13" i="1"/>
  <c r="V1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64" i="1"/>
  <c r="V66" i="1"/>
  <c r="V69" i="1"/>
  <c r="V70" i="1"/>
  <c r="V72" i="1"/>
  <c r="V10" i="1"/>
  <c r="V52" i="1"/>
  <c r="V53" i="1"/>
  <c r="V54" i="1"/>
  <c r="V55" i="1"/>
  <c r="V56" i="1"/>
  <c r="V57" i="1"/>
  <c r="V58" i="1"/>
  <c r="V59" i="1"/>
  <c r="V60" i="1"/>
  <c r="V61" i="1"/>
  <c r="V62" i="1"/>
  <c r="V63" i="1"/>
  <c r="V65" i="1"/>
  <c r="V67" i="1"/>
  <c r="V68" i="1"/>
  <c r="V71" i="1"/>
  <c r="V73" i="1"/>
  <c r="X11" i="1" l="1"/>
  <c r="X12" i="1"/>
  <c r="X13" i="1"/>
  <c r="U13" i="1"/>
  <c r="X14" i="1"/>
  <c r="X15" i="1"/>
  <c r="X16" i="1"/>
  <c r="X17" i="1"/>
  <c r="X18" i="1"/>
  <c r="X19" i="1"/>
  <c r="X20" i="1"/>
  <c r="X21" i="1"/>
  <c r="X22" i="1"/>
  <c r="X23" i="1"/>
  <c r="X24" i="1"/>
  <c r="U24" i="1"/>
  <c r="X25" i="1"/>
  <c r="X26" i="1"/>
  <c r="X27" i="1"/>
  <c r="X28" i="1"/>
  <c r="X29" i="1"/>
  <c r="X30" i="1"/>
  <c r="X31" i="1"/>
  <c r="X32" i="1"/>
  <c r="X33" i="1"/>
  <c r="X34" i="1"/>
  <c r="X35" i="1"/>
  <c r="X36" i="1"/>
  <c r="X37" i="1"/>
  <c r="X38" i="1"/>
  <c r="X39" i="1"/>
  <c r="X40" i="1"/>
  <c r="X41" i="1"/>
  <c r="X42" i="1"/>
  <c r="X43" i="1"/>
  <c r="X44" i="1"/>
  <c r="X45" i="1"/>
  <c r="X46" i="1"/>
  <c r="X47" i="1"/>
  <c r="X48" i="1"/>
  <c r="X49" i="1"/>
  <c r="X50" i="1"/>
  <c r="X51" i="1"/>
  <c r="X64" i="1"/>
  <c r="X66" i="1"/>
  <c r="X69" i="1"/>
  <c r="X70" i="1"/>
  <c r="X72" i="1"/>
  <c r="X10" i="1"/>
  <c r="X52" i="1"/>
  <c r="X53" i="1"/>
  <c r="X54" i="1"/>
  <c r="X55" i="1"/>
  <c r="X56" i="1"/>
  <c r="U56" i="1"/>
  <c r="X57" i="1"/>
  <c r="X58" i="1"/>
  <c r="X59" i="1"/>
  <c r="X60" i="1"/>
  <c r="X61" i="1"/>
  <c r="X62" i="1"/>
  <c r="X63" i="1"/>
  <c r="X65" i="1"/>
  <c r="X67" i="1"/>
  <c r="X68" i="1"/>
  <c r="X71" i="1"/>
  <c r="X73" i="1"/>
  <c r="U26" i="1" l="1"/>
  <c r="U31" i="1"/>
  <c r="U39" i="1"/>
  <c r="U20" i="1"/>
  <c r="U73" i="1"/>
  <c r="U50" i="1"/>
  <c r="U63" i="1"/>
  <c r="U19" i="1"/>
  <c r="U18" i="1"/>
  <c r="U17" i="1"/>
  <c r="U12" i="1"/>
  <c r="U11" i="1"/>
  <c r="U45" i="1"/>
  <c r="U51" i="1"/>
  <c r="U72" i="1"/>
  <c r="U55" i="1"/>
  <c r="U61" i="1"/>
  <c r="U41" i="1"/>
  <c r="U68" i="1"/>
  <c r="U25" i="1"/>
  <c r="U44" i="1"/>
  <c r="U14" i="1"/>
  <c r="U15" i="1"/>
  <c r="U23" i="1"/>
  <c r="U33" i="1"/>
  <c r="U27" i="1"/>
  <c r="U16" i="1"/>
  <c r="U21" i="1"/>
  <c r="U28" i="1"/>
  <c r="U34" i="1"/>
  <c r="U38" i="1"/>
  <c r="U22" i="1"/>
  <c r="U35" i="1"/>
  <c r="U42" i="1"/>
  <c r="U43" i="1"/>
  <c r="U64" i="1"/>
  <c r="U69" i="1"/>
  <c r="U52" i="1"/>
  <c r="U53" i="1"/>
  <c r="U59" i="1"/>
  <c r="U67" i="1"/>
  <c r="U71" i="1"/>
  <c r="U36" i="1"/>
  <c r="U46" i="1"/>
  <c r="U70" i="1"/>
  <c r="U58" i="1"/>
  <c r="U60" i="1"/>
  <c r="U37" i="1"/>
  <c r="U66" i="1"/>
  <c r="U10" i="1"/>
  <c r="U62" i="1"/>
  <c r="U49" i="1"/>
  <c r="U54" i="1"/>
  <c r="U57" i="1"/>
  <c r="U65" i="1"/>
  <c r="U32" i="1"/>
  <c r="U40" i="1"/>
  <c r="U47" i="1"/>
  <c r="X9" i="1"/>
  <c r="U30" i="1"/>
  <c r="U48" i="1"/>
  <c r="U29" i="1"/>
  <c r="X7" i="1" l="1"/>
  <c r="U7" i="1" s="1"/>
  <c r="U9" i="1"/>
</calcChain>
</file>

<file path=xl/sharedStrings.xml><?xml version="1.0" encoding="utf-8"?>
<sst xmlns="http://schemas.openxmlformats.org/spreadsheetml/2006/main" count="334" uniqueCount="179">
  <si>
    <t>Phụ lục:</t>
  </si>
  <si>
    <t>DỰ KIẾN PHÂN BỔ VÀ ĐỐI ỨNG VỐN THỰC HIỆN CHƯƠNG TRÌNH MTQG XÂY DỰNG NÔNG THÔN MỚI, GIẢM NGHÈO BỀN VỮNG VÀ PHÁT TRIỂN KINH TẾ - XÃ HỘI VÙNG ĐỒNG BÀO DÂN TỘC THIỂU SỐ VÀ MIỀN NÚI TỈNH KHÁNH HÒA GIAI ĐOẠN 2026-2030</t>
  </si>
  <si>
    <t>STT</t>
  </si>
  <si>
    <t>Mã số</t>
  </si>
  <si>
    <t>Xã  mới</t>
  </si>
  <si>
    <t>Thôn ĐBKK</t>
  </si>
  <si>
    <t>Xã</t>
  </si>
  <si>
    <t>Tỷ lệ nghèo đa chiều năm 2025 (%)</t>
  </si>
  <si>
    <t>Tỷ lệ dân số vùng đồng bào dân tộc thiểu số và miền núi (%)</t>
  </si>
  <si>
    <t>Tỷ lệ đối ứng</t>
  </si>
  <si>
    <r>
      <rPr>
        <b/>
        <sz val="11"/>
        <color theme="1"/>
        <rFont val="Times New Roman"/>
        <family val="1"/>
      </rPr>
      <t xml:space="preserve">Vốn dự kiến </t>
    </r>
    <r>
      <rPr>
        <i/>
        <sz val="11"/>
        <color theme="1"/>
        <rFont val="Times New Roman"/>
        <family val="1"/>
      </rPr>
      <t>(triệu đồng)</t>
    </r>
  </si>
  <si>
    <t>Phân loại xã</t>
  </si>
  <si>
    <t>trong đó:</t>
  </si>
  <si>
    <t>Tổng</t>
  </si>
  <si>
    <t>Tổng tỷ lệ đối ứng (%)</t>
  </si>
  <si>
    <t>Tổng cộng</t>
  </si>
  <si>
    <r>
      <rPr>
        <b/>
        <sz val="12"/>
        <color theme="1"/>
        <rFont val="Times New Roman"/>
        <family val="1"/>
      </rPr>
      <t xml:space="preserve">Xã vùng DTTS </t>
    </r>
    <r>
      <rPr>
        <i/>
        <sz val="12"/>
        <color theme="1"/>
        <rFont val="Times New Roman"/>
        <family val="1"/>
      </rPr>
      <t>(đã bao gồm xã miền núi)</t>
    </r>
  </si>
  <si>
    <t>Xã an toàn khu</t>
  </si>
  <si>
    <t>Xã biên giới</t>
  </si>
  <si>
    <t>Điểm theo số thôn ĐBKK</t>
  </si>
  <si>
    <t>Điểm theo phân loại cấp xã</t>
  </si>
  <si>
    <t>Tỷ lệ đối ứng theo tỷ lệ nghèo đa chiều</t>
  </si>
  <si>
    <t>Tỷ lệ đối ứng theo tỷ lệ đồng bào dân tộc thiểu số</t>
  </si>
  <si>
    <t>Tổng vốn đối ứng</t>
  </si>
  <si>
    <t>TỔNG CỘNG</t>
  </si>
  <si>
    <t>A</t>
  </si>
  <si>
    <t>CẤP TỈNH</t>
  </si>
  <si>
    <t>B</t>
  </si>
  <si>
    <t>CẤP XÃ</t>
  </si>
  <si>
    <t>A01</t>
  </si>
  <si>
    <t>Xã Đại Lãnh</t>
  </si>
  <si>
    <t>x</t>
  </si>
  <si>
    <t>A02</t>
  </si>
  <si>
    <t>Xã Tu Bông</t>
  </si>
  <si>
    <t>A03</t>
  </si>
  <si>
    <t>Xã Vạn Thắng</t>
  </si>
  <si>
    <t>A04</t>
  </si>
  <si>
    <t>Xã Vạn Ninh</t>
  </si>
  <si>
    <t>A05</t>
  </si>
  <si>
    <t>Xã Vạn Hưng</t>
  </si>
  <si>
    <t>A06</t>
  </si>
  <si>
    <t>Xã Bắc Ninh Hòa</t>
  </si>
  <si>
    <t>B01</t>
  </si>
  <si>
    <t>Phường Đông Ninh Hòa</t>
  </si>
  <si>
    <t>Phường</t>
  </si>
  <si>
    <t>A07</t>
  </si>
  <si>
    <t>Xã Hòa Trí</t>
  </si>
  <si>
    <t>B02</t>
  </si>
  <si>
    <t>Phường Ninh Hòa</t>
  </si>
  <si>
    <t>B03</t>
  </si>
  <si>
    <t>Phường Hòa Thắng</t>
  </si>
  <si>
    <t>A08</t>
  </si>
  <si>
    <t>Xã Tây Ninh Hòa</t>
  </si>
  <si>
    <t>I</t>
  </si>
  <si>
    <t>A09</t>
  </si>
  <si>
    <t>Xã Tân Định</t>
  </si>
  <si>
    <t>A10</t>
  </si>
  <si>
    <t>Xã Nam Ninh Hòa</t>
  </si>
  <si>
    <t>A11</t>
  </si>
  <si>
    <t>Xã Trung Khánh Vĩnh</t>
  </si>
  <si>
    <t>III</t>
  </si>
  <si>
    <t>A12</t>
  </si>
  <si>
    <t>Xã Bắc Khánh Vĩnh</t>
  </si>
  <si>
    <t>II</t>
  </si>
  <si>
    <t>A13</t>
  </si>
  <si>
    <t>Xã Tây Khánh Vĩnh</t>
  </si>
  <si>
    <t>A14</t>
  </si>
  <si>
    <t>Xã Diên Lâm</t>
  </si>
  <si>
    <t>A15</t>
  </si>
  <si>
    <t>Xã Diên Điền</t>
  </si>
  <si>
    <t>B04</t>
  </si>
  <si>
    <t>Phường Bắc Nha Trang</t>
  </si>
  <si>
    <t>A16</t>
  </si>
  <si>
    <t>Xã Nam Khánh Vĩnh</t>
  </si>
  <si>
    <t>A17</t>
  </si>
  <si>
    <t>Xã Khánh Vĩnh</t>
  </si>
  <si>
    <t>A18</t>
  </si>
  <si>
    <t>Xã Diên Thọ</t>
  </si>
  <si>
    <t>A19</t>
  </si>
  <si>
    <t>Xã Diên Lạc</t>
  </si>
  <si>
    <t>A20</t>
  </si>
  <si>
    <t>Xã Suối Hiệp</t>
  </si>
  <si>
    <t>A21</t>
  </si>
  <si>
    <t>Xã Suối Dầu</t>
  </si>
  <si>
    <t>A22</t>
  </si>
  <si>
    <t>Xã Diên Khánh</t>
  </si>
  <si>
    <t>B05</t>
  </si>
  <si>
    <t>Phường Tây Nha Trang</t>
  </si>
  <si>
    <t>B06</t>
  </si>
  <si>
    <t>Phường Nam Nha Trang</t>
  </si>
  <si>
    <t>B07</t>
  </si>
  <si>
    <t>Phường Nha Trang</t>
  </si>
  <si>
    <t>A23</t>
  </si>
  <si>
    <t>Xã  Bác Ái Tây</t>
  </si>
  <si>
    <t>A24</t>
  </si>
  <si>
    <t>Xã Tây Khánh Sơn</t>
  </si>
  <si>
    <t>A25</t>
  </si>
  <si>
    <t>Xã Khánh Sơn</t>
  </si>
  <si>
    <t>A26</t>
  </si>
  <si>
    <t>Xã Đông Khánh Sơn</t>
  </si>
  <si>
    <t>A27</t>
  </si>
  <si>
    <t>Xã Cam Hiệp</t>
  </si>
  <si>
    <t>A28</t>
  </si>
  <si>
    <t>Xã Cam An</t>
  </si>
  <si>
    <t>B08</t>
  </si>
  <si>
    <t>Phường Bắc Cam Ranh</t>
  </si>
  <si>
    <t>A29</t>
  </si>
  <si>
    <t>Xã Cam Lâm</t>
  </si>
  <si>
    <t>A30</t>
  </si>
  <si>
    <t>Xã Lâm Sơn</t>
  </si>
  <si>
    <t>A31</t>
  </si>
  <si>
    <t>Xã Bác Ái</t>
  </si>
  <si>
    <t>A32</t>
  </si>
  <si>
    <t>Xã Bác Ái Đông</t>
  </si>
  <si>
    <t>B09</t>
  </si>
  <si>
    <t>Phường Ba Ngòi</t>
  </si>
  <si>
    <t>A33</t>
  </si>
  <si>
    <t>Xã Nam Cam Ranh</t>
  </si>
  <si>
    <t>A34</t>
  </si>
  <si>
    <t>Xã Công Hải</t>
  </si>
  <si>
    <t>B10</t>
  </si>
  <si>
    <t>Phường Cam Ranh</t>
  </si>
  <si>
    <t>B11</t>
  </si>
  <si>
    <t>Phường Cam Linh</t>
  </si>
  <si>
    <t>A35</t>
  </si>
  <si>
    <t>Xã Ninh Sơn</t>
  </si>
  <si>
    <t>A36</t>
  </si>
  <si>
    <t>Xã Anh Dũng</t>
  </si>
  <si>
    <t>A37</t>
  </si>
  <si>
    <t>Xã Mỹ Sơn</t>
  </si>
  <si>
    <t>A38</t>
  </si>
  <si>
    <t>Xã Phước Hậu</t>
  </si>
  <si>
    <t>A39</t>
  </si>
  <si>
    <t>Xã Phước Hữu</t>
  </si>
  <si>
    <t>A40</t>
  </si>
  <si>
    <t>Xã Phước Hà</t>
  </si>
  <si>
    <t>B12</t>
  </si>
  <si>
    <t>Phường Đô Vinh</t>
  </si>
  <si>
    <t>A41</t>
  </si>
  <si>
    <t>Xã Thuận Bắc</t>
  </si>
  <si>
    <t>A42</t>
  </si>
  <si>
    <t>Xã Xuân Hải</t>
  </si>
  <si>
    <t>B13</t>
  </si>
  <si>
    <t>Phường Bảo An</t>
  </si>
  <si>
    <t>B14</t>
  </si>
  <si>
    <t>Phường Ninh Chử</t>
  </si>
  <si>
    <t>B15</t>
  </si>
  <si>
    <t>Phường Phan Rang</t>
  </si>
  <si>
    <t>B16</t>
  </si>
  <si>
    <t>Phường Đông Hải</t>
  </si>
  <si>
    <t>A43</t>
  </si>
  <si>
    <t>Xã Ninh Hải</t>
  </si>
  <si>
    <t>A44</t>
  </si>
  <si>
    <t>Xã Vĩnh Hải</t>
  </si>
  <si>
    <t>A45</t>
  </si>
  <si>
    <t>Xã Ninh Phước</t>
  </si>
  <si>
    <t>A46</t>
  </si>
  <si>
    <t>Xã Thuận Nam</t>
  </si>
  <si>
    <t>A47</t>
  </si>
  <si>
    <t>Xã Phước Dinh</t>
  </si>
  <si>
    <t>A48</t>
  </si>
  <si>
    <t>Xã Cà Ná</t>
  </si>
  <si>
    <t>C01</t>
  </si>
  <si>
    <t>Đặc khu Trường Sa</t>
  </si>
  <si>
    <t>Nghèo đa chiều</t>
  </si>
  <si>
    <t>Dân tộc thiểu số</t>
  </si>
  <si>
    <t>ATK</t>
  </si>
  <si>
    <t>Xã còn lại</t>
  </si>
  <si>
    <t>Điểm phân bổ vốn NSTW</t>
  </si>
  <si>
    <t>Điểm phân bổ vốn NS tỉnh</t>
  </si>
  <si>
    <t>Điểm theo mục tiêu nôn thôn mới</t>
  </si>
  <si>
    <t>Mục tiêu NTM</t>
  </si>
  <si>
    <t>NTM</t>
  </si>
  <si>
    <t>NTM hiện đại</t>
  </si>
  <si>
    <t>Trong đó:</t>
  </si>
  <si>
    <t>Vốn NSTW hỗ trợ</t>
  </si>
  <si>
    <t>Vốn NS tỉnh hỗ trợ</t>
  </si>
  <si>
    <t>Xã lên phường</t>
  </si>
  <si>
    <t>(kèm theo Dự thảo Tờ trình của UBND tỉnh về Dự thảo Nghị quyết của Hội đồng nhân dân tỉnh Quy định nguyên tắc, tiêu chí, định mức phân bổ ngân sách nhà nước thực hiện Chương trình mục tiêu quốc gia xây dựng nông thôn mới, giảm nghèo bền vững và phát triển kinh tế - xã hội vùng đồng bào dân tộc thiểu số và miền núi tỉnh Khánh Hòa giai đoạn 2026 – 2030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</si>
</sst>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charset val="134"/>
      <scheme val="minor"/>
    </font>
    <font>
      <sz val="11"/>
      <color theme="1"/>
      <name val="Aptos Narrow"/>
      <family val="2"/>
      <scheme val="minor"/>
    </font>
    <font>
      <sz val="11"/>
      <color theme="1"/>
      <name val="Times New Roman"/>
      <family val="1"/>
    </font>
    <font>
      <b/>
      <sz val="11"/>
      <color theme="1"/>
      <name val="Times New Roman"/>
      <family val="1"/>
    </font>
    <font>
      <b/>
      <sz val="12"/>
      <color theme="1"/>
      <name val="Times New Roman"/>
      <family val="1"/>
    </font>
    <font>
      <b/>
      <sz val="10"/>
      <color theme="1"/>
      <name val="Times New Roman"/>
      <family val="1"/>
    </font>
    <font>
      <i/>
      <sz val="12"/>
      <color theme="1"/>
      <name val="Times New Roman"/>
      <family val="1"/>
    </font>
    <font>
      <sz val="9"/>
      <color theme="1"/>
      <name val="Times New Roman"/>
      <family val="1"/>
    </font>
    <font>
      <sz val="12"/>
      <color theme="1"/>
      <name val="Times New Roman"/>
      <family val="1"/>
    </font>
    <font>
      <sz val="12"/>
      <color rgb="FF505050"/>
      <name val="Times New Roman"/>
      <family val="1"/>
    </font>
    <font>
      <sz val="12"/>
      <name val="Times New Roman"/>
      <family val="1"/>
    </font>
    <font>
      <sz val="12"/>
      <color indexed="63"/>
      <name val="Times New Roman"/>
      <family val="1"/>
    </font>
    <font>
      <sz val="12"/>
      <color indexed="63"/>
      <name val="Times New Roman"/>
      <family val="1"/>
    </font>
    <font>
      <i/>
      <sz val="11"/>
      <color theme="1"/>
      <name val="Times New Roman"/>
      <family val="1"/>
    </font>
  </fonts>
  <fills count="6">
    <fill>
      <patternFill patternType="none"/>
    </fill>
    <fill>
      <patternFill patternType="gray125"/>
    </fill>
    <fill>
      <patternFill patternType="solid">
        <fgColor theme="0"/>
        <bgColor indexed="64"/>
      </patternFill>
    </fill>
    <fill>
      <patternFill patternType="solid">
        <fgColor theme="3" tint="0.89996032593768116"/>
        <bgColor indexed="64"/>
      </patternFill>
    </fill>
    <fill>
      <patternFill patternType="solid">
        <fgColor rgb="FFFFFFFF"/>
        <bgColor indexed="64"/>
      </patternFill>
    </fill>
    <fill>
      <patternFill patternType="solid">
        <fgColor theme="3" tint="0.89999084444715716"/>
        <bgColor indexed="64"/>
      </patternFill>
    </fill>
  </fills>
  <borders count="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59">
    <xf numFmtId="0" fontId="0" fillId="0" borderId="0" xfId="0"/>
    <xf numFmtId="0" fontId="0" fillId="0" borderId="1" xfId="0" applyBorder="1"/>
    <xf numFmtId="9" fontId="0" fillId="0" borderId="0" xfId="0" applyNumberFormat="1"/>
    <xf numFmtId="0" fontId="2" fillId="0" borderId="0" xfId="0" applyFont="1"/>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7"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2" fillId="0" borderId="1" xfId="0" applyFont="1" applyBorder="1" applyAlignment="1">
      <alignment wrapText="1"/>
    </xf>
    <xf numFmtId="0" fontId="2" fillId="0" borderId="4" xfId="0" applyFont="1" applyBorder="1" applyAlignment="1">
      <alignment wrapText="1"/>
    </xf>
    <xf numFmtId="0" fontId="2" fillId="0" borderId="1" xfId="0" applyFont="1" applyBorder="1"/>
    <xf numFmtId="3" fontId="3" fillId="0" borderId="1" xfId="0" applyNumberFormat="1" applyFont="1" applyBorder="1" applyAlignment="1">
      <alignment wrapText="1"/>
    </xf>
    <xf numFmtId="0" fontId="4" fillId="3" borderId="1" xfId="0" applyFont="1" applyFill="1" applyBorder="1" applyAlignment="1">
      <alignment horizontal="center" vertical="center"/>
    </xf>
    <xf numFmtId="0" fontId="4"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0" fillId="3" borderId="1" xfId="0" applyFill="1" applyBorder="1"/>
    <xf numFmtId="0" fontId="2" fillId="3" borderId="1" xfId="0" applyFont="1" applyFill="1" applyBorder="1" applyAlignment="1">
      <alignment wrapText="1"/>
    </xf>
    <xf numFmtId="0" fontId="2" fillId="3" borderId="4" xfId="0" applyFont="1" applyFill="1" applyBorder="1" applyAlignment="1">
      <alignment wrapText="1"/>
    </xf>
    <xf numFmtId="0" fontId="2" fillId="3" borderId="1" xfId="0" applyFont="1" applyFill="1" applyBorder="1"/>
    <xf numFmtId="3" fontId="3" fillId="3" borderId="1" xfId="0" applyNumberFormat="1" applyFont="1" applyFill="1" applyBorder="1" applyAlignment="1">
      <alignment wrapText="1"/>
    </xf>
    <xf numFmtId="3" fontId="2" fillId="3" borderId="1" xfId="0" applyNumberFormat="1" applyFont="1" applyFill="1" applyBorder="1" applyAlignment="1">
      <alignment wrapText="1"/>
    </xf>
    <xf numFmtId="3" fontId="2" fillId="3" borderId="4" xfId="0" applyNumberFormat="1" applyFont="1" applyFill="1" applyBorder="1" applyAlignment="1">
      <alignment wrapText="1"/>
    </xf>
    <xf numFmtId="0" fontId="8" fillId="2" borderId="1" xfId="0" applyFont="1" applyFill="1" applyBorder="1" applyAlignment="1">
      <alignment horizontal="center" vertical="center"/>
    </xf>
    <xf numFmtId="0" fontId="8" fillId="2" borderId="1" xfId="0" applyFont="1" applyFill="1" applyBorder="1" applyAlignment="1">
      <alignment horizontal="left" vertical="center"/>
    </xf>
    <xf numFmtId="0" fontId="9"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2" fontId="11" fillId="4" borderId="1" xfId="0" applyNumberFormat="1" applyFont="1" applyFill="1" applyBorder="1" applyAlignment="1">
      <alignment horizontal="center" vertical="center" wrapText="1"/>
    </xf>
    <xf numFmtId="0" fontId="12" fillId="4" borderId="1" xfId="0" applyFont="1" applyFill="1" applyBorder="1" applyAlignment="1">
      <alignment horizontal="center" vertical="center" wrapText="1"/>
    </xf>
    <xf numFmtId="9" fontId="2" fillId="0" borderId="1" xfId="0" applyNumberFormat="1" applyFont="1" applyBorder="1"/>
    <xf numFmtId="3" fontId="2" fillId="0" borderId="1" xfId="0" applyNumberFormat="1" applyFont="1" applyBorder="1" applyAlignment="1">
      <alignment wrapText="1"/>
    </xf>
    <xf numFmtId="0" fontId="1" fillId="0" borderId="0" xfId="0" applyFont="1"/>
    <xf numFmtId="0" fontId="8" fillId="2" borderId="0" xfId="0" applyFont="1" applyFill="1" applyAlignment="1">
      <alignment horizontal="left" vertical="center"/>
    </xf>
    <xf numFmtId="3" fontId="3" fillId="5" borderId="1" xfId="0" applyNumberFormat="1" applyFont="1" applyFill="1" applyBorder="1" applyAlignment="1">
      <alignment wrapText="1"/>
    </xf>
    <xf numFmtId="0" fontId="5"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3" fillId="0" borderId="0" xfId="0" applyFont="1" applyAlignment="1">
      <alignment horizontal="center" wrapText="1"/>
    </xf>
    <xf numFmtId="0" fontId="4" fillId="2" borderId="1" xfId="0" applyFont="1" applyFill="1" applyBorder="1" applyAlignment="1">
      <alignment horizontal="center" vertical="center" wrapText="1"/>
    </xf>
    <xf numFmtId="0" fontId="3" fillId="0" borderId="1" xfId="0" applyFont="1" applyBorder="1" applyAlignment="1">
      <alignment horizontal="center" wrapText="1"/>
    </xf>
    <xf numFmtId="0" fontId="3" fillId="0" borderId="4" xfId="0" applyFont="1" applyBorder="1" applyAlignment="1">
      <alignment horizontal="center" wrapText="1"/>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0" borderId="5" xfId="0" applyFont="1" applyBorder="1" applyAlignment="1">
      <alignment horizontal="center" wrapText="1"/>
    </xf>
    <xf numFmtId="0" fontId="3" fillId="0" borderId="6" xfId="0" applyFont="1" applyBorder="1" applyAlignment="1">
      <alignment horizont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2" fillId="0" borderId="1" xfId="0" applyFont="1" applyBorder="1" applyAlignment="1">
      <alignment horizontal="center" wrapText="1"/>
    </xf>
    <xf numFmtId="0" fontId="4" fillId="2" borderId="3"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3" fillId="0" borderId="2"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74"/>
  <sheetViews>
    <sheetView tabSelected="1" workbookViewId="0">
      <selection activeCell="E5" sqref="E5:E6"/>
    </sheetView>
  </sheetViews>
  <sheetFormatPr defaultColWidth="9" defaultRowHeight="14.4" x14ac:dyDescent="0.25"/>
  <cols>
    <col min="1" max="1" width="6" customWidth="1"/>
    <col min="2" max="2" width="8.88671875" hidden="1" customWidth="1"/>
    <col min="3" max="3" width="22.44140625" customWidth="1"/>
    <col min="4" max="4" width="7.109375" customWidth="1"/>
    <col min="5" max="5" width="13.21875" customWidth="1"/>
    <col min="6" max="6" width="10.109375" customWidth="1"/>
    <col min="7" max="7" width="6" customWidth="1"/>
    <col min="8" max="8" width="6.109375" customWidth="1"/>
    <col min="9" max="9" width="7.21875" customWidth="1"/>
    <col min="11" max="11" width="6.33203125" customWidth="1"/>
    <col min="12" max="12" width="5.44140625" customWidth="1"/>
    <col min="13" max="13" width="7.44140625" customWidth="1"/>
    <col min="14" max="14" width="5.77734375" customWidth="1"/>
    <col min="15" max="17" width="7.44140625" customWidth="1"/>
    <col min="18" max="18" width="6.21875" customWidth="1"/>
    <col min="19" max="19" width="6.109375" customWidth="1"/>
    <col min="20" max="20" width="7.44140625" customWidth="1"/>
    <col min="21" max="21" width="9.44140625" customWidth="1"/>
    <col min="24" max="24" width="8.77734375" customWidth="1"/>
    <col min="25" max="25" width="9" hidden="1" customWidth="1"/>
  </cols>
  <sheetData>
    <row r="1" spans="1:25" x14ac:dyDescent="0.25">
      <c r="A1" s="3" t="s">
        <v>0</v>
      </c>
    </row>
    <row r="2" spans="1:25" ht="28.95" customHeight="1" x14ac:dyDescent="0.25">
      <c r="A2" s="39" t="s">
        <v>1</v>
      </c>
      <c r="B2" s="39"/>
      <c r="C2" s="39"/>
      <c r="D2" s="39"/>
      <c r="E2" s="39"/>
      <c r="F2" s="39"/>
      <c r="G2" s="39"/>
      <c r="H2" s="39"/>
      <c r="I2" s="39"/>
      <c r="J2" s="39"/>
      <c r="K2" s="39"/>
      <c r="L2" s="39"/>
      <c r="M2" s="39"/>
      <c r="N2" s="39"/>
      <c r="O2" s="39"/>
      <c r="P2" s="39"/>
      <c r="Q2" s="39"/>
      <c r="R2" s="39"/>
      <c r="S2" s="39"/>
      <c r="T2" s="39"/>
      <c r="U2" s="39"/>
      <c r="V2" s="39"/>
      <c r="W2" s="39"/>
      <c r="X2" s="39"/>
    </row>
    <row r="3" spans="1:25" ht="29.4" customHeight="1" x14ac:dyDescent="0.25">
      <c r="A3" s="58" t="s">
        <v>178</v>
      </c>
      <c r="B3" s="58"/>
      <c r="C3" s="58"/>
      <c r="D3" s="58"/>
      <c r="E3" s="58"/>
      <c r="F3" s="58"/>
      <c r="G3" s="58"/>
      <c r="H3" s="58"/>
      <c r="I3" s="58"/>
      <c r="J3" s="58"/>
      <c r="K3" s="58"/>
      <c r="L3" s="58"/>
      <c r="M3" s="58"/>
      <c r="N3" s="58"/>
      <c r="O3" s="58"/>
      <c r="P3" s="58"/>
      <c r="Q3" s="58"/>
      <c r="R3" s="58"/>
      <c r="S3" s="58"/>
      <c r="T3" s="58"/>
      <c r="U3" s="58"/>
      <c r="V3" s="58"/>
      <c r="W3" s="58"/>
      <c r="X3" s="58"/>
    </row>
    <row r="4" spans="1:25" ht="31.8" customHeight="1" x14ac:dyDescent="0.25">
      <c r="A4" s="52" t="s">
        <v>2</v>
      </c>
      <c r="B4" s="52" t="s">
        <v>3</v>
      </c>
      <c r="C4" s="55" t="s">
        <v>4</v>
      </c>
      <c r="D4" s="55" t="s">
        <v>5</v>
      </c>
      <c r="E4" s="40" t="s">
        <v>6</v>
      </c>
      <c r="F4" s="40"/>
      <c r="G4" s="40"/>
      <c r="H4" s="40"/>
      <c r="I4" s="34" t="s">
        <v>7</v>
      </c>
      <c r="J4" s="34" t="s">
        <v>8</v>
      </c>
      <c r="K4" s="41" t="s">
        <v>168</v>
      </c>
      <c r="L4" s="41"/>
      <c r="M4" s="42"/>
      <c r="N4" s="42" t="s">
        <v>169</v>
      </c>
      <c r="O4" s="46"/>
      <c r="P4" s="46"/>
      <c r="Q4" s="47"/>
      <c r="R4" s="43" t="s">
        <v>9</v>
      </c>
      <c r="S4" s="44"/>
      <c r="T4" s="45"/>
      <c r="U4" s="41" t="s">
        <v>10</v>
      </c>
      <c r="V4" s="41"/>
      <c r="W4" s="41"/>
      <c r="X4" s="41"/>
    </row>
    <row r="5" spans="1:25" ht="15.6" customHeight="1" x14ac:dyDescent="0.25">
      <c r="A5" s="53"/>
      <c r="B5" s="53"/>
      <c r="C5" s="56"/>
      <c r="D5" s="56"/>
      <c r="E5" s="55" t="s">
        <v>11</v>
      </c>
      <c r="F5" s="48" t="s">
        <v>12</v>
      </c>
      <c r="G5" s="49"/>
      <c r="H5" s="50"/>
      <c r="I5" s="34"/>
      <c r="J5" s="34"/>
      <c r="K5" s="35" t="s">
        <v>13</v>
      </c>
      <c r="L5" s="51" t="s">
        <v>12</v>
      </c>
      <c r="M5" s="51"/>
      <c r="N5" s="35" t="s">
        <v>13</v>
      </c>
      <c r="O5" s="36" t="s">
        <v>12</v>
      </c>
      <c r="P5" s="37"/>
      <c r="Q5" s="38"/>
      <c r="R5" s="35" t="s">
        <v>14</v>
      </c>
      <c r="S5" s="51" t="s">
        <v>12</v>
      </c>
      <c r="T5" s="51"/>
      <c r="U5" s="35" t="s">
        <v>15</v>
      </c>
      <c r="V5" s="36" t="s">
        <v>174</v>
      </c>
      <c r="W5" s="37"/>
      <c r="X5" s="38"/>
    </row>
    <row r="6" spans="1:25" ht="84" x14ac:dyDescent="0.25">
      <c r="A6" s="54"/>
      <c r="B6" s="54"/>
      <c r="C6" s="57"/>
      <c r="D6" s="57"/>
      <c r="E6" s="57"/>
      <c r="F6" s="6" t="s">
        <v>16</v>
      </c>
      <c r="G6" s="6" t="s">
        <v>17</v>
      </c>
      <c r="H6" s="6" t="s">
        <v>18</v>
      </c>
      <c r="I6" s="34"/>
      <c r="J6" s="34"/>
      <c r="K6" s="35"/>
      <c r="L6" s="7" t="s">
        <v>19</v>
      </c>
      <c r="M6" s="7" t="s">
        <v>20</v>
      </c>
      <c r="N6" s="35"/>
      <c r="O6" s="7" t="s">
        <v>19</v>
      </c>
      <c r="P6" s="7" t="s">
        <v>20</v>
      </c>
      <c r="Q6" s="7" t="s">
        <v>170</v>
      </c>
      <c r="R6" s="35"/>
      <c r="S6" s="7" t="s">
        <v>21</v>
      </c>
      <c r="T6" s="7" t="s">
        <v>22</v>
      </c>
      <c r="U6" s="35"/>
      <c r="V6" s="7" t="s">
        <v>175</v>
      </c>
      <c r="W6" s="7" t="s">
        <v>176</v>
      </c>
      <c r="X6" s="7" t="s">
        <v>23</v>
      </c>
    </row>
    <row r="7" spans="1:25" ht="15.6" x14ac:dyDescent="0.25">
      <c r="A7" s="8"/>
      <c r="B7" s="8"/>
      <c r="C7" s="4" t="s">
        <v>24</v>
      </c>
      <c r="D7" s="5">
        <f>SUBTOTAL(109,D10:D74)</f>
        <v>108</v>
      </c>
      <c r="E7" s="5"/>
      <c r="F7" s="5">
        <f>SUBTOTAL(103,F10:F74)</f>
        <v>28</v>
      </c>
      <c r="G7" s="5">
        <f>SUBTOTAL(103,G10:G74)</f>
        <v>12</v>
      </c>
      <c r="H7" s="5">
        <f>SUBTOTAL(103,H10:H74)</f>
        <v>25</v>
      </c>
      <c r="I7" s="1"/>
      <c r="J7" s="1"/>
      <c r="K7" s="9"/>
      <c r="L7" s="9"/>
      <c r="M7" s="10"/>
      <c r="N7" s="10"/>
      <c r="O7" s="10"/>
      <c r="P7" s="10"/>
      <c r="Q7" s="10"/>
      <c r="R7" s="11"/>
      <c r="S7" s="11"/>
      <c r="T7" s="11"/>
      <c r="U7" s="12">
        <f>SUM(V7:X7)</f>
        <v>5161664.8642515726</v>
      </c>
      <c r="V7" s="12">
        <f>Y9</f>
        <v>1844510</v>
      </c>
      <c r="W7" s="12">
        <f>Y10</f>
        <v>2877430</v>
      </c>
      <c r="X7" s="12">
        <f>X9</f>
        <v>439724.86425157264</v>
      </c>
    </row>
    <row r="8" spans="1:25" ht="15.6" x14ac:dyDescent="0.25">
      <c r="A8" s="13" t="s">
        <v>25</v>
      </c>
      <c r="B8" s="13"/>
      <c r="C8" s="14" t="s">
        <v>26</v>
      </c>
      <c r="D8" s="15"/>
      <c r="E8" s="15"/>
      <c r="F8" s="15"/>
      <c r="G8" s="15"/>
      <c r="H8" s="15"/>
      <c r="I8" s="16"/>
      <c r="J8" s="16"/>
      <c r="K8" s="17"/>
      <c r="L8" s="17"/>
      <c r="M8" s="18"/>
      <c r="N8" s="18"/>
      <c r="O8" s="18"/>
      <c r="P8" s="18"/>
      <c r="Q8" s="18"/>
      <c r="R8" s="19"/>
      <c r="S8" s="19"/>
      <c r="T8" s="19"/>
      <c r="U8" s="33">
        <f>SUM(V8:X8)</f>
        <v>575486</v>
      </c>
      <c r="V8" s="20"/>
      <c r="W8" s="20">
        <f>0.2*W7</f>
        <v>575486</v>
      </c>
      <c r="X8" s="20"/>
      <c r="Y8">
        <f>SUM(Y9:Y10)</f>
        <v>4721940</v>
      </c>
    </row>
    <row r="9" spans="1:25" ht="15.6" x14ac:dyDescent="0.25">
      <c r="A9" s="13" t="s">
        <v>27</v>
      </c>
      <c r="B9" s="13"/>
      <c r="C9" s="14" t="s">
        <v>28</v>
      </c>
      <c r="D9" s="15"/>
      <c r="E9" s="15"/>
      <c r="F9" s="15"/>
      <c r="G9" s="15"/>
      <c r="H9" s="15"/>
      <c r="I9" s="16"/>
      <c r="J9" s="16"/>
      <c r="K9" s="21">
        <f>SUM(K10:K74)</f>
        <v>2098</v>
      </c>
      <c r="L9" s="21">
        <f t="shared" ref="L9:Q9" si="0">SUM(L10:L74)</f>
        <v>108</v>
      </c>
      <c r="M9" s="22">
        <f t="shared" si="0"/>
        <v>1990</v>
      </c>
      <c r="N9" s="22">
        <f t="shared" si="0"/>
        <v>3988</v>
      </c>
      <c r="O9" s="22">
        <f t="shared" si="0"/>
        <v>108</v>
      </c>
      <c r="P9" s="22">
        <f t="shared" si="0"/>
        <v>2190</v>
      </c>
      <c r="Q9" s="22">
        <f t="shared" si="0"/>
        <v>1690</v>
      </c>
      <c r="R9" s="19"/>
      <c r="S9" s="19"/>
      <c r="T9" s="19"/>
      <c r="U9" s="33">
        <f t="shared" ref="U9:U72" si="1">SUM(V9:X9)</f>
        <v>4586178.8642515726</v>
      </c>
      <c r="V9" s="20">
        <f>V7</f>
        <v>1844510</v>
      </c>
      <c r="W9" s="20">
        <f>W7-W8</f>
        <v>2301944</v>
      </c>
      <c r="X9" s="20">
        <f>SUM(X10:X73)</f>
        <v>439724.86425157264</v>
      </c>
      <c r="Y9">
        <v>1844510</v>
      </c>
    </row>
    <row r="10" spans="1:25" ht="15.6" x14ac:dyDescent="0.25">
      <c r="A10" s="23">
        <v>1</v>
      </c>
      <c r="B10" s="23" t="s">
        <v>29</v>
      </c>
      <c r="C10" s="24" t="s">
        <v>30</v>
      </c>
      <c r="D10" s="25"/>
      <c r="E10" s="26" t="str">
        <f>IF(F10="III","III",IF(G10="x","ATK",IF(H10="x","Xã biên giới",IF(F10="II","II",IF(F10="I","I","Xã còn lại")))))</f>
        <v>Xã biên giới</v>
      </c>
      <c r="F10" s="25"/>
      <c r="G10" s="25"/>
      <c r="H10" s="25" t="s">
        <v>31</v>
      </c>
      <c r="I10" s="27">
        <v>4.23996391520072</v>
      </c>
      <c r="J10" s="28">
        <v>0.28999999999999998</v>
      </c>
      <c r="K10" s="9">
        <f>SUM(L10:M10)</f>
        <v>50</v>
      </c>
      <c r="L10" s="9">
        <f>D10</f>
        <v>0</v>
      </c>
      <c r="M10" s="10">
        <f>IF(ISNA(VLOOKUP(E10,Sheet2!$C$5:$D$10,2,0)),0,VLOOKUP(E10,Sheet2!$C$5:$D$10,2,0))</f>
        <v>50</v>
      </c>
      <c r="N10" s="10">
        <f>SUM(O10:Q10)</f>
        <v>90</v>
      </c>
      <c r="O10" s="10">
        <f>L10</f>
        <v>0</v>
      </c>
      <c r="P10" s="10">
        <f>VLOOKUP(E10,Sheet2!$C$5:$D$11,2,0)</f>
        <v>50</v>
      </c>
      <c r="Q10" s="10">
        <f>VLOOKUP(C10,Sheet2!$Q$5:$V$69,6,0)</f>
        <v>40</v>
      </c>
      <c r="R10" s="29">
        <f>SUM(S10:T10)+15%</f>
        <v>0.15</v>
      </c>
      <c r="S10" s="29" t="str">
        <f>IF(I10&gt;Sheet2!$G$5,Sheet2!$H$5,IF(I10&gt;Sheet2!$G$6,Sheet2!$H$6,IF(I10&gt;Sheet2!$G$7,Sheet2!$H$7,IF(I10&gt;Sheet2!$G$8,Sheet2!$H$8,IF(I10&gt;Sheet2!$G$9,Sheet2!$H$9,IF(I10&gt;Sheet2!$G$10,Sheet2!$H$10,""))))))</f>
        <v/>
      </c>
      <c r="T10" s="29">
        <f>_xlfn.XLOOKUP(J10,Sheet2!$L$5:$L$13,Sheet2!$M$5:$M$13,0,-1)</f>
        <v>0</v>
      </c>
      <c r="U10" s="12">
        <f t="shared" si="1"/>
        <v>110294.61287723991</v>
      </c>
      <c r="V10" s="30">
        <f>$V$9/$K$9*K10</f>
        <v>43958.770257387987</v>
      </c>
      <c r="W10" s="30">
        <f>$W$9/$N$9*N10</f>
        <v>51949.588766298897</v>
      </c>
      <c r="X10" s="30">
        <f>R10*SUM(V10:W10)</f>
        <v>14386.253853553031</v>
      </c>
      <c r="Y10">
        <v>2877430</v>
      </c>
    </row>
    <row r="11" spans="1:25" ht="15.6" x14ac:dyDescent="0.25">
      <c r="A11" s="23">
        <v>2</v>
      </c>
      <c r="B11" s="23" t="s">
        <v>32</v>
      </c>
      <c r="C11" s="24" t="s">
        <v>33</v>
      </c>
      <c r="D11" s="25"/>
      <c r="E11" s="26" t="str">
        <f t="shared" ref="E11:E17" si="2">IF(F11="III","III",IF(G11="x","ATK",IF(H11="x","Xã biên giới",IF(F11="II","II",IF(F11="I","I","Xã còn lại")))))</f>
        <v>Xã biên giới</v>
      </c>
      <c r="F11" s="25"/>
      <c r="G11" s="25"/>
      <c r="H11" s="25" t="s">
        <v>31</v>
      </c>
      <c r="I11" s="27">
        <v>3.0945945945945899</v>
      </c>
      <c r="J11" s="28">
        <v>1.49</v>
      </c>
      <c r="K11" s="9">
        <f t="shared" ref="K11:K73" si="3">SUM(L11:M11)</f>
        <v>50</v>
      </c>
      <c r="L11" s="9">
        <f t="shared" ref="L11:L73" si="4">D11</f>
        <v>0</v>
      </c>
      <c r="M11" s="10">
        <f>IF(ISNA(VLOOKUP(E11,Sheet2!$C$5:$D$10,2,0)),0,VLOOKUP(E11,Sheet2!$C$5:$D$10,2,0))</f>
        <v>50</v>
      </c>
      <c r="N11" s="10">
        <f t="shared" ref="N11:N73" si="5">SUM(O11:Q11)</f>
        <v>90</v>
      </c>
      <c r="O11" s="10">
        <f t="shared" ref="O11:O73" si="6">L11</f>
        <v>0</v>
      </c>
      <c r="P11" s="10">
        <f>VLOOKUP(E11,Sheet2!$C$5:$D$11,2,0)</f>
        <v>50</v>
      </c>
      <c r="Q11" s="10">
        <f>VLOOKUP(C11,Sheet2!$Q$5:$V$69,6,0)</f>
        <v>40</v>
      </c>
      <c r="R11" s="29">
        <f t="shared" ref="R11:R73" si="7">SUM(S11:T11)+15%</f>
        <v>0.15</v>
      </c>
      <c r="S11" s="29" t="str">
        <f>IF(I11&gt;Sheet2!$G$5,Sheet2!$H$5,IF(I11&gt;Sheet2!$G$6,Sheet2!$H$6,IF(I11&gt;Sheet2!$G$7,Sheet2!$H$7,IF(I11&gt;Sheet2!$G$8,Sheet2!$H$8,IF(I11&gt;Sheet2!$G$9,Sheet2!$H$9,IF(I11&gt;Sheet2!$G$10,Sheet2!$H$10,""))))))</f>
        <v/>
      </c>
      <c r="T11" s="29">
        <f>_xlfn.XLOOKUP(J11,Sheet2!$L$5:$L$13,Sheet2!$M$5:$M$13,0,-1)</f>
        <v>0</v>
      </c>
      <c r="U11" s="12">
        <f t="shared" si="1"/>
        <v>110294.61287723991</v>
      </c>
      <c r="V11" s="30">
        <f t="shared" ref="V11:V73" si="8">$V$9/$K$9*K11</f>
        <v>43958.770257387987</v>
      </c>
      <c r="W11" s="30">
        <f t="shared" ref="W11:W73" si="9">$W$9/$N$9*N11</f>
        <v>51949.588766298897</v>
      </c>
      <c r="X11" s="30">
        <f t="shared" ref="X11:X73" si="10">R11*SUM(V11:W11)</f>
        <v>14386.253853553031</v>
      </c>
    </row>
    <row r="12" spans="1:25" ht="15.6" x14ac:dyDescent="0.25">
      <c r="A12" s="23">
        <v>3</v>
      </c>
      <c r="B12" s="23" t="s">
        <v>34</v>
      </c>
      <c r="C12" s="24" t="s">
        <v>35</v>
      </c>
      <c r="D12" s="25"/>
      <c r="E12" s="26" t="str">
        <f t="shared" si="2"/>
        <v>Xã biên giới</v>
      </c>
      <c r="F12" s="25"/>
      <c r="G12" s="25"/>
      <c r="H12" s="25" t="s">
        <v>31</v>
      </c>
      <c r="I12" s="27">
        <v>1.3202112337974099</v>
      </c>
      <c r="J12" s="28">
        <v>0</v>
      </c>
      <c r="K12" s="9">
        <f t="shared" si="3"/>
        <v>50</v>
      </c>
      <c r="L12" s="9">
        <f t="shared" si="4"/>
        <v>0</v>
      </c>
      <c r="M12" s="10">
        <f>IF(ISNA(VLOOKUP(E12,Sheet2!$C$5:$D$10,2,0)),0,VLOOKUP(E12,Sheet2!$C$5:$D$10,2,0))</f>
        <v>50</v>
      </c>
      <c r="N12" s="10">
        <f t="shared" si="5"/>
        <v>90</v>
      </c>
      <c r="O12" s="10">
        <f t="shared" si="6"/>
        <v>0</v>
      </c>
      <c r="P12" s="10">
        <f>VLOOKUP(E12,Sheet2!$C$5:$D$11,2,0)</f>
        <v>50</v>
      </c>
      <c r="Q12" s="10">
        <f>VLOOKUP(C12,Sheet2!$Q$5:$V$69,6,0)</f>
        <v>40</v>
      </c>
      <c r="R12" s="29">
        <f t="shared" si="7"/>
        <v>0.15</v>
      </c>
      <c r="S12" s="29" t="str">
        <f>IF(I12&gt;Sheet2!$G$5,Sheet2!$H$5,IF(I12&gt;Sheet2!$G$6,Sheet2!$H$6,IF(I12&gt;Sheet2!$G$7,Sheet2!$H$7,IF(I12&gt;Sheet2!$G$8,Sheet2!$H$8,IF(I12&gt;Sheet2!$G$9,Sheet2!$H$9,IF(I12&gt;Sheet2!$G$10,Sheet2!$H$10,""))))))</f>
        <v/>
      </c>
      <c r="T12" s="29">
        <f>_xlfn.XLOOKUP(J12,Sheet2!$L$5:$L$13,Sheet2!$M$5:$M$13,0,-1)</f>
        <v>0</v>
      </c>
      <c r="U12" s="12">
        <f t="shared" si="1"/>
        <v>110294.61287723991</v>
      </c>
      <c r="V12" s="30">
        <f t="shared" si="8"/>
        <v>43958.770257387987</v>
      </c>
      <c r="W12" s="30">
        <f t="shared" si="9"/>
        <v>51949.588766298897</v>
      </c>
      <c r="X12" s="30">
        <f t="shared" si="10"/>
        <v>14386.253853553031</v>
      </c>
    </row>
    <row r="13" spans="1:25" ht="15.6" x14ac:dyDescent="0.25">
      <c r="A13" s="23">
        <v>4</v>
      </c>
      <c r="B13" s="23" t="s">
        <v>36</v>
      </c>
      <c r="C13" s="24" t="s">
        <v>37</v>
      </c>
      <c r="D13" s="25"/>
      <c r="E13" s="26" t="str">
        <f t="shared" si="2"/>
        <v>Xã biên giới</v>
      </c>
      <c r="F13" s="25"/>
      <c r="G13" s="25"/>
      <c r="H13" s="25" t="s">
        <v>31</v>
      </c>
      <c r="I13" s="27">
        <v>3.6782596250178901</v>
      </c>
      <c r="J13" s="28">
        <v>0</v>
      </c>
      <c r="K13" s="9">
        <f t="shared" si="3"/>
        <v>50</v>
      </c>
      <c r="L13" s="9">
        <f t="shared" si="4"/>
        <v>0</v>
      </c>
      <c r="M13" s="10">
        <f>IF(ISNA(VLOOKUP(E13,Sheet2!$C$5:$D$10,2,0)),0,VLOOKUP(E13,Sheet2!$C$5:$D$10,2,0))</f>
        <v>50</v>
      </c>
      <c r="N13" s="10">
        <f t="shared" si="5"/>
        <v>50</v>
      </c>
      <c r="O13" s="10">
        <f t="shared" si="6"/>
        <v>0</v>
      </c>
      <c r="P13" s="10">
        <f>VLOOKUP(E13,Sheet2!$C$5:$D$11,2,0)</f>
        <v>50</v>
      </c>
      <c r="Q13" s="10">
        <f>VLOOKUP(C13,Sheet2!$Q$5:$V$69,6,0)</f>
        <v>0</v>
      </c>
      <c r="R13" s="29">
        <f t="shared" si="7"/>
        <v>0.15</v>
      </c>
      <c r="S13" s="29" t="str">
        <f>IF(I13&gt;Sheet2!$G$5,Sheet2!$H$5,IF(I13&gt;Sheet2!$G$6,Sheet2!$H$6,IF(I13&gt;Sheet2!$G$7,Sheet2!$H$7,IF(I13&gt;Sheet2!$G$8,Sheet2!$H$8,IF(I13&gt;Sheet2!$G$9,Sheet2!$H$9,IF(I13&gt;Sheet2!$G$10,Sheet2!$H$10,""))))))</f>
        <v/>
      </c>
      <c r="T13" s="29">
        <f>_xlfn.XLOOKUP(J13,Sheet2!$L$5:$L$13,Sheet2!$M$5:$M$13,0,-1)</f>
        <v>0</v>
      </c>
      <c r="U13" s="12">
        <f t="shared" si="1"/>
        <v>83742.6008411316</v>
      </c>
      <c r="V13" s="30">
        <f t="shared" si="8"/>
        <v>43958.770257387987</v>
      </c>
      <c r="W13" s="30">
        <f t="shared" si="9"/>
        <v>28860.882647943832</v>
      </c>
      <c r="X13" s="30">
        <f t="shared" si="10"/>
        <v>10922.947935799773</v>
      </c>
    </row>
    <row r="14" spans="1:25" ht="15.6" x14ac:dyDescent="0.25">
      <c r="A14" s="23">
        <v>5</v>
      </c>
      <c r="B14" s="23" t="s">
        <v>38</v>
      </c>
      <c r="C14" s="24" t="s">
        <v>39</v>
      </c>
      <c r="D14" s="25"/>
      <c r="E14" s="26" t="str">
        <f t="shared" si="2"/>
        <v>Xã biên giới</v>
      </c>
      <c r="F14" s="25"/>
      <c r="G14" s="25"/>
      <c r="H14" s="25" t="s">
        <v>31</v>
      </c>
      <c r="I14" s="27">
        <v>3.0354131534570001</v>
      </c>
      <c r="J14" s="28">
        <v>0.39</v>
      </c>
      <c r="K14" s="9">
        <f t="shared" si="3"/>
        <v>50</v>
      </c>
      <c r="L14" s="9">
        <f t="shared" si="4"/>
        <v>0</v>
      </c>
      <c r="M14" s="10">
        <f>IF(ISNA(VLOOKUP(E14,Sheet2!$C$5:$D$10,2,0)),0,VLOOKUP(E14,Sheet2!$C$5:$D$10,2,0))</f>
        <v>50</v>
      </c>
      <c r="N14" s="10">
        <f t="shared" si="5"/>
        <v>90</v>
      </c>
      <c r="O14" s="10">
        <f t="shared" si="6"/>
        <v>0</v>
      </c>
      <c r="P14" s="10">
        <f>VLOOKUP(E14,Sheet2!$C$5:$D$11,2,0)</f>
        <v>50</v>
      </c>
      <c r="Q14" s="10">
        <f>VLOOKUP(C14,Sheet2!$Q$5:$V$69,6,0)</f>
        <v>40</v>
      </c>
      <c r="R14" s="29">
        <f t="shared" si="7"/>
        <v>0.15</v>
      </c>
      <c r="S14" s="29" t="str">
        <f>IF(I14&gt;Sheet2!$G$5,Sheet2!$H$5,IF(I14&gt;Sheet2!$G$6,Sheet2!$H$6,IF(I14&gt;Sheet2!$G$7,Sheet2!$H$7,IF(I14&gt;Sheet2!$G$8,Sheet2!$H$8,IF(I14&gt;Sheet2!$G$9,Sheet2!$H$9,IF(I14&gt;Sheet2!$G$10,Sheet2!$H$10,""))))))</f>
        <v/>
      </c>
      <c r="T14" s="29">
        <f>_xlfn.XLOOKUP(J14,Sheet2!$L$5:$L$13,Sheet2!$M$5:$M$13,0,-1)</f>
        <v>0</v>
      </c>
      <c r="U14" s="12">
        <f t="shared" si="1"/>
        <v>110294.61287723991</v>
      </c>
      <c r="V14" s="30">
        <f t="shared" si="8"/>
        <v>43958.770257387987</v>
      </c>
      <c r="W14" s="30">
        <f t="shared" si="9"/>
        <v>51949.588766298897</v>
      </c>
      <c r="X14" s="30">
        <f t="shared" si="10"/>
        <v>14386.253853553031</v>
      </c>
    </row>
    <row r="15" spans="1:25" ht="15.6" x14ac:dyDescent="0.25">
      <c r="A15" s="23">
        <v>6</v>
      </c>
      <c r="B15" s="23" t="s">
        <v>40</v>
      </c>
      <c r="C15" s="24" t="s">
        <v>41</v>
      </c>
      <c r="D15" s="25"/>
      <c r="E15" s="26" t="str">
        <f t="shared" si="2"/>
        <v>Xã biên giới</v>
      </c>
      <c r="F15" s="25"/>
      <c r="G15" s="25"/>
      <c r="H15" s="25" t="s">
        <v>31</v>
      </c>
      <c r="I15" s="27">
        <v>3.0078125</v>
      </c>
      <c r="J15" s="28">
        <v>0.77</v>
      </c>
      <c r="K15" s="9">
        <f t="shared" si="3"/>
        <v>50</v>
      </c>
      <c r="L15" s="9">
        <f t="shared" si="4"/>
        <v>0</v>
      </c>
      <c r="M15" s="10">
        <f>IF(ISNA(VLOOKUP(E15,Sheet2!$C$5:$D$10,2,0)),0,VLOOKUP(E15,Sheet2!$C$5:$D$10,2,0))</f>
        <v>50</v>
      </c>
      <c r="N15" s="10">
        <f t="shared" si="5"/>
        <v>90</v>
      </c>
      <c r="O15" s="10">
        <f t="shared" si="6"/>
        <v>0</v>
      </c>
      <c r="P15" s="10">
        <f>VLOOKUP(E15,Sheet2!$C$5:$D$11,2,0)</f>
        <v>50</v>
      </c>
      <c r="Q15" s="10">
        <f>VLOOKUP(C15,Sheet2!$Q$5:$V$69,6,0)</f>
        <v>40</v>
      </c>
      <c r="R15" s="29">
        <f t="shared" si="7"/>
        <v>0.15</v>
      </c>
      <c r="S15" s="29" t="str">
        <f>IF(I15&gt;Sheet2!$G$5,Sheet2!$H$5,IF(I15&gt;Sheet2!$G$6,Sheet2!$H$6,IF(I15&gt;Sheet2!$G$7,Sheet2!$H$7,IF(I15&gt;Sheet2!$G$8,Sheet2!$H$8,IF(I15&gt;Sheet2!$G$9,Sheet2!$H$9,IF(I15&gt;Sheet2!$G$10,Sheet2!$H$10,""))))))</f>
        <v/>
      </c>
      <c r="T15" s="29">
        <f>_xlfn.XLOOKUP(J15,Sheet2!$L$5:$L$13,Sheet2!$M$5:$M$13,0,-1)</f>
        <v>0</v>
      </c>
      <c r="U15" s="12">
        <f t="shared" si="1"/>
        <v>110294.61287723991</v>
      </c>
      <c r="V15" s="30">
        <f t="shared" si="8"/>
        <v>43958.770257387987</v>
      </c>
      <c r="W15" s="30">
        <f t="shared" si="9"/>
        <v>51949.588766298897</v>
      </c>
      <c r="X15" s="30">
        <f t="shared" si="10"/>
        <v>14386.253853553031</v>
      </c>
    </row>
    <row r="16" spans="1:25" ht="15.6" x14ac:dyDescent="0.25">
      <c r="A16" s="23">
        <v>7</v>
      </c>
      <c r="B16" s="23" t="s">
        <v>42</v>
      </c>
      <c r="C16" s="24" t="s">
        <v>43</v>
      </c>
      <c r="D16" s="25"/>
      <c r="E16" s="26" t="s">
        <v>44</v>
      </c>
      <c r="F16" s="25"/>
      <c r="G16" s="25"/>
      <c r="H16" s="25" t="s">
        <v>31</v>
      </c>
      <c r="I16" s="27">
        <v>3.28</v>
      </c>
      <c r="J16" s="28">
        <v>0.14000000000000001</v>
      </c>
      <c r="K16" s="9">
        <f t="shared" si="3"/>
        <v>0</v>
      </c>
      <c r="L16" s="9">
        <f t="shared" si="4"/>
        <v>0</v>
      </c>
      <c r="M16" s="10">
        <f>IF(ISNA(VLOOKUP(E16,Sheet2!$C$5:$D$10,2,0)),0,VLOOKUP(E16,Sheet2!$C$5:$D$10,2,0))</f>
        <v>0</v>
      </c>
      <c r="N16" s="10">
        <f t="shared" si="5"/>
        <v>12.5</v>
      </c>
      <c r="O16" s="10">
        <f t="shared" si="6"/>
        <v>0</v>
      </c>
      <c r="P16" s="10">
        <f>VLOOKUP(E16,Sheet2!$C$5:$D$11,2,0)</f>
        <v>12.5</v>
      </c>
      <c r="Q16" s="10">
        <f>VLOOKUP(C16,Sheet2!$Q$5:$V$69,6,0)</f>
        <v>0</v>
      </c>
      <c r="R16" s="29">
        <f t="shared" si="7"/>
        <v>0.15</v>
      </c>
      <c r="S16" s="29" t="str">
        <f>IF(I16&gt;Sheet2!$G$5,Sheet2!$H$5,IF(I16&gt;Sheet2!$G$6,Sheet2!$H$6,IF(I16&gt;Sheet2!$G$7,Sheet2!$H$7,IF(I16&gt;Sheet2!$G$8,Sheet2!$H$8,IF(I16&gt;Sheet2!$G$9,Sheet2!$H$9,IF(I16&gt;Sheet2!$G$10,Sheet2!$H$10,""))))))</f>
        <v/>
      </c>
      <c r="T16" s="29">
        <f>_xlfn.XLOOKUP(J16,Sheet2!$L$5:$L$13,Sheet2!$M$5:$M$13,0,-1)</f>
        <v>0</v>
      </c>
      <c r="U16" s="12">
        <f t="shared" si="1"/>
        <v>8297.5037612838514</v>
      </c>
      <c r="V16" s="30">
        <f t="shared" si="8"/>
        <v>0</v>
      </c>
      <c r="W16" s="30">
        <f t="shared" si="9"/>
        <v>7215.220661985958</v>
      </c>
      <c r="X16" s="30">
        <f t="shared" si="10"/>
        <v>1082.2830992978936</v>
      </c>
    </row>
    <row r="17" spans="1:24" ht="15.6" x14ac:dyDescent="0.25">
      <c r="A17" s="23">
        <v>8</v>
      </c>
      <c r="B17" s="23" t="s">
        <v>45</v>
      </c>
      <c r="C17" s="24" t="s">
        <v>46</v>
      </c>
      <c r="D17" s="25"/>
      <c r="E17" s="26" t="str">
        <f t="shared" si="2"/>
        <v>Xã còn lại</v>
      </c>
      <c r="F17" s="25"/>
      <c r="G17" s="25"/>
      <c r="H17" s="25"/>
      <c r="I17" s="27">
        <v>2.97</v>
      </c>
      <c r="J17" s="28">
        <v>0.65</v>
      </c>
      <c r="K17" s="9">
        <f t="shared" si="3"/>
        <v>25</v>
      </c>
      <c r="L17" s="9">
        <f t="shared" si="4"/>
        <v>0</v>
      </c>
      <c r="M17" s="10">
        <f>IF(ISNA(VLOOKUP(E17,Sheet2!$C$5:$D$10,2,0)),0,VLOOKUP(E17,Sheet2!$C$5:$D$10,2,0))</f>
        <v>25</v>
      </c>
      <c r="N17" s="10">
        <f t="shared" si="5"/>
        <v>65</v>
      </c>
      <c r="O17" s="10">
        <f t="shared" si="6"/>
        <v>0</v>
      </c>
      <c r="P17" s="10">
        <f>VLOOKUP(E17,Sheet2!$C$5:$D$11,2,0)</f>
        <v>25</v>
      </c>
      <c r="Q17" s="10">
        <f>VLOOKUP(C17,Sheet2!$Q$5:$V$69,6,0)</f>
        <v>40</v>
      </c>
      <c r="R17" s="29">
        <f t="shared" si="7"/>
        <v>0.15</v>
      </c>
      <c r="S17" s="29" t="str">
        <f>IF(I17&gt;Sheet2!$G$5,Sheet2!$H$5,IF(I17&gt;Sheet2!$G$6,Sheet2!$H$6,IF(I17&gt;Sheet2!$G$7,Sheet2!$H$7,IF(I17&gt;Sheet2!$G$8,Sheet2!$H$8,IF(I17&gt;Sheet2!$G$9,Sheet2!$H$9,IF(I17&gt;Sheet2!$G$10,Sheet2!$H$10,""))))))</f>
        <v/>
      </c>
      <c r="T17" s="29">
        <f>_xlfn.XLOOKUP(J17,Sheet2!$L$5:$L$13,Sheet2!$M$5:$M$13,0,-1)</f>
        <v>0</v>
      </c>
      <c r="U17" s="12">
        <f t="shared" si="1"/>
        <v>68423.312456674117</v>
      </c>
      <c r="V17" s="30">
        <f t="shared" si="8"/>
        <v>21979.385128693993</v>
      </c>
      <c r="W17" s="30">
        <f t="shared" si="9"/>
        <v>37519.147442326983</v>
      </c>
      <c r="X17" s="30">
        <f t="shared" si="10"/>
        <v>8924.7798856531463</v>
      </c>
    </row>
    <row r="18" spans="1:24" ht="15.6" x14ac:dyDescent="0.25">
      <c r="A18" s="23">
        <v>9</v>
      </c>
      <c r="B18" s="23" t="s">
        <v>47</v>
      </c>
      <c r="C18" s="24" t="s">
        <v>48</v>
      </c>
      <c r="D18" s="25"/>
      <c r="E18" s="26" t="s">
        <v>44</v>
      </c>
      <c r="F18" s="25"/>
      <c r="G18" s="25"/>
      <c r="H18" s="25"/>
      <c r="I18" s="27">
        <v>3.55221518987342</v>
      </c>
      <c r="J18" s="28">
        <v>0</v>
      </c>
      <c r="K18" s="9">
        <f t="shared" si="3"/>
        <v>0</v>
      </c>
      <c r="L18" s="9">
        <f t="shared" si="4"/>
        <v>0</v>
      </c>
      <c r="M18" s="10">
        <f>IF(ISNA(VLOOKUP(E18,Sheet2!$C$5:$D$10,2,0)),0,VLOOKUP(E18,Sheet2!$C$5:$D$10,2,0))</f>
        <v>0</v>
      </c>
      <c r="N18" s="10">
        <f t="shared" si="5"/>
        <v>12.5</v>
      </c>
      <c r="O18" s="10">
        <f t="shared" si="6"/>
        <v>0</v>
      </c>
      <c r="P18" s="10">
        <f>VLOOKUP(E18,Sheet2!$C$5:$D$11,2,0)</f>
        <v>12.5</v>
      </c>
      <c r="Q18" s="10">
        <f>VLOOKUP(C18,Sheet2!$Q$5:$V$69,6,0)</f>
        <v>0</v>
      </c>
      <c r="R18" s="29">
        <f t="shared" si="7"/>
        <v>0.15</v>
      </c>
      <c r="S18" s="29" t="str">
        <f>IF(I18&gt;Sheet2!$G$5,Sheet2!$H$5,IF(I18&gt;Sheet2!$G$6,Sheet2!$H$6,IF(I18&gt;Sheet2!$G$7,Sheet2!$H$7,IF(I18&gt;Sheet2!$G$8,Sheet2!$H$8,IF(I18&gt;Sheet2!$G$9,Sheet2!$H$9,IF(I18&gt;Sheet2!$G$10,Sheet2!$H$10,""))))))</f>
        <v/>
      </c>
      <c r="T18" s="29">
        <f>_xlfn.XLOOKUP(J18,Sheet2!$L$5:$L$13,Sheet2!$M$5:$M$13,0,-1)</f>
        <v>0</v>
      </c>
      <c r="U18" s="12">
        <f t="shared" si="1"/>
        <v>8297.5037612838514</v>
      </c>
      <c r="V18" s="30">
        <f t="shared" si="8"/>
        <v>0</v>
      </c>
      <c r="W18" s="30">
        <f t="shared" si="9"/>
        <v>7215.220661985958</v>
      </c>
      <c r="X18" s="30">
        <f t="shared" si="10"/>
        <v>1082.2830992978936</v>
      </c>
    </row>
    <row r="19" spans="1:24" ht="15.6" x14ac:dyDescent="0.25">
      <c r="A19" s="23">
        <v>10</v>
      </c>
      <c r="B19" s="23" t="s">
        <v>49</v>
      </c>
      <c r="C19" s="24" t="s">
        <v>50</v>
      </c>
      <c r="D19" s="25"/>
      <c r="E19" s="26" t="s">
        <v>44</v>
      </c>
      <c r="F19" s="25"/>
      <c r="G19" s="25"/>
      <c r="H19" s="25" t="s">
        <v>31</v>
      </c>
      <c r="I19" s="27">
        <v>3.14</v>
      </c>
      <c r="J19" s="28">
        <v>0.32</v>
      </c>
      <c r="K19" s="9">
        <f t="shared" si="3"/>
        <v>0</v>
      </c>
      <c r="L19" s="9">
        <f t="shared" si="4"/>
        <v>0</v>
      </c>
      <c r="M19" s="10">
        <f>IF(ISNA(VLOOKUP(E19,Sheet2!$C$5:$D$10,2,0)),0,VLOOKUP(E19,Sheet2!$C$5:$D$10,2,0))</f>
        <v>0</v>
      </c>
      <c r="N19" s="10">
        <f t="shared" si="5"/>
        <v>12.5</v>
      </c>
      <c r="O19" s="10">
        <f t="shared" si="6"/>
        <v>0</v>
      </c>
      <c r="P19" s="10">
        <f>VLOOKUP(E19,Sheet2!$C$5:$D$11,2,0)</f>
        <v>12.5</v>
      </c>
      <c r="Q19" s="10">
        <f>VLOOKUP(C19,Sheet2!$Q$5:$V$69,6,0)</f>
        <v>0</v>
      </c>
      <c r="R19" s="29">
        <f t="shared" si="7"/>
        <v>0.15</v>
      </c>
      <c r="S19" s="29" t="str">
        <f>IF(I19&gt;Sheet2!$G$5,Sheet2!$H$5,IF(I19&gt;Sheet2!$G$6,Sheet2!$H$6,IF(I19&gt;Sheet2!$G$7,Sheet2!$H$7,IF(I19&gt;Sheet2!$G$8,Sheet2!$H$8,IF(I19&gt;Sheet2!$G$9,Sheet2!$H$9,IF(I19&gt;Sheet2!$G$10,Sheet2!$H$10,""))))))</f>
        <v/>
      </c>
      <c r="T19" s="29">
        <f>_xlfn.XLOOKUP(J19,Sheet2!$L$5:$L$13,Sheet2!$M$5:$M$13,0,-1)</f>
        <v>0</v>
      </c>
      <c r="U19" s="12">
        <f t="shared" si="1"/>
        <v>8297.5037612838514</v>
      </c>
      <c r="V19" s="30">
        <f t="shared" si="8"/>
        <v>0</v>
      </c>
      <c r="W19" s="30">
        <f t="shared" si="9"/>
        <v>7215.220661985958</v>
      </c>
      <c r="X19" s="30">
        <f t="shared" si="10"/>
        <v>1082.2830992978936</v>
      </c>
    </row>
    <row r="20" spans="1:24" ht="15.6" x14ac:dyDescent="0.25">
      <c r="A20" s="23">
        <v>11</v>
      </c>
      <c r="B20" s="23" t="s">
        <v>51</v>
      </c>
      <c r="C20" s="24" t="s">
        <v>52</v>
      </c>
      <c r="D20" s="25"/>
      <c r="E20" s="26" t="str">
        <f t="shared" ref="E20:E73" si="11">IF(F20="III","III",IF(G20="x","ATK",IF(H20="x","Xã biên giới",IF(F20="II","II",IF(F20="I","I"," Xã còn lại")))))</f>
        <v>I</v>
      </c>
      <c r="F20" s="25" t="s">
        <v>53</v>
      </c>
      <c r="G20" s="25"/>
      <c r="H20" s="25"/>
      <c r="I20" s="27">
        <v>4.01</v>
      </c>
      <c r="J20" s="28">
        <v>18.22</v>
      </c>
      <c r="K20" s="9">
        <f t="shared" si="3"/>
        <v>30</v>
      </c>
      <c r="L20" s="9">
        <f t="shared" si="4"/>
        <v>0</v>
      </c>
      <c r="M20" s="10">
        <f>IF(ISNA(VLOOKUP(E20,Sheet2!$C$5:$D$10,2,0)),0,VLOOKUP(E20,Sheet2!$C$5:$D$10,2,0))</f>
        <v>30</v>
      </c>
      <c r="N20" s="10">
        <f t="shared" si="5"/>
        <v>70</v>
      </c>
      <c r="O20" s="10">
        <f t="shared" si="6"/>
        <v>0</v>
      </c>
      <c r="P20" s="10">
        <f>VLOOKUP(E20,Sheet2!$C$5:$D$11,2,0)</f>
        <v>30</v>
      </c>
      <c r="Q20" s="10">
        <f>VLOOKUP(C20,Sheet2!$Q$5:$V$69,6,0)</f>
        <v>40</v>
      </c>
      <c r="R20" s="29">
        <f t="shared" si="7"/>
        <v>0.13999999999999999</v>
      </c>
      <c r="S20" s="29" t="str">
        <f>IF(I20&gt;Sheet2!$G$5,Sheet2!$H$5,IF(I20&gt;Sheet2!$G$6,Sheet2!$H$6,IF(I20&gt;Sheet2!$G$7,Sheet2!$H$7,IF(I20&gt;Sheet2!$G$8,Sheet2!$H$8,IF(I20&gt;Sheet2!$G$9,Sheet2!$H$9,IF(I20&gt;Sheet2!$G$10,Sheet2!$H$10,""))))))</f>
        <v/>
      </c>
      <c r="T20" s="29">
        <f>_xlfn.XLOOKUP(J20,Sheet2!$L$5:$L$13,Sheet2!$M$5:$M$13,0,-1)</f>
        <v>-9.9999999999999967E-3</v>
      </c>
      <c r="U20" s="12">
        <f t="shared" si="1"/>
        <v>76129.76756217175</v>
      </c>
      <c r="V20" s="30">
        <f t="shared" si="8"/>
        <v>26375.262154432792</v>
      </c>
      <c r="W20" s="30">
        <f t="shared" si="9"/>
        <v>40405.23570712137</v>
      </c>
      <c r="X20" s="30">
        <f t="shared" si="10"/>
        <v>9349.2697006175822</v>
      </c>
    </row>
    <row r="21" spans="1:24" ht="15.6" x14ac:dyDescent="0.25">
      <c r="A21" s="23">
        <v>12</v>
      </c>
      <c r="B21" s="23" t="s">
        <v>54</v>
      </c>
      <c r="C21" s="24" t="s">
        <v>55</v>
      </c>
      <c r="D21" s="25"/>
      <c r="E21" s="26" t="str">
        <f t="shared" ref="E21" si="12">IF(F21="III","III",IF(G21="x","ATK",IF(H21="x","Xã biên giới",IF(F21="II","II",IF(F21="I","I","Xã còn lại")))))</f>
        <v>Xã còn lại</v>
      </c>
      <c r="F21" s="25"/>
      <c r="G21" s="25"/>
      <c r="H21" s="25"/>
      <c r="I21" s="27">
        <v>1.97314890154597</v>
      </c>
      <c r="J21" s="28">
        <v>0.11</v>
      </c>
      <c r="K21" s="9">
        <f t="shared" si="3"/>
        <v>25</v>
      </c>
      <c r="L21" s="9">
        <f t="shared" si="4"/>
        <v>0</v>
      </c>
      <c r="M21" s="10">
        <f>IF(ISNA(VLOOKUP(E21,Sheet2!$C$5:$D$10,2,0)),0,VLOOKUP(E21,Sheet2!$C$5:$D$10,2,0))</f>
        <v>25</v>
      </c>
      <c r="N21" s="10">
        <f t="shared" si="5"/>
        <v>25</v>
      </c>
      <c r="O21" s="10">
        <f t="shared" si="6"/>
        <v>0</v>
      </c>
      <c r="P21" s="10">
        <f>VLOOKUP(E21,Sheet2!$C$5:$D$11,2,0)</f>
        <v>25</v>
      </c>
      <c r="Q21" s="10">
        <f>VLOOKUP(C21,Sheet2!$Q$5:$V$69,6,0)</f>
        <v>0</v>
      </c>
      <c r="R21" s="29">
        <f t="shared" si="7"/>
        <v>0.15</v>
      </c>
      <c r="S21" s="29" t="str">
        <f>IF(I21&gt;Sheet2!$G$5,Sheet2!$H$5,IF(I21&gt;Sheet2!$G$6,Sheet2!$H$6,IF(I21&gt;Sheet2!$G$7,Sheet2!$H$7,IF(I21&gt;Sheet2!$G$8,Sheet2!$H$8,IF(I21&gt;Sheet2!$G$9,Sheet2!$H$9,IF(I21&gt;Sheet2!$G$10,Sheet2!$H$10,""))))))</f>
        <v/>
      </c>
      <c r="T21" s="29">
        <f>_xlfn.XLOOKUP(J21,Sheet2!$L$5:$L$13,Sheet2!$M$5:$M$13,0,-1)</f>
        <v>0</v>
      </c>
      <c r="U21" s="12">
        <f t="shared" si="1"/>
        <v>41871.3004205658</v>
      </c>
      <c r="V21" s="30">
        <f t="shared" si="8"/>
        <v>21979.385128693993</v>
      </c>
      <c r="W21" s="30">
        <f t="shared" si="9"/>
        <v>14430.441323971916</v>
      </c>
      <c r="X21" s="30">
        <f t="shared" si="10"/>
        <v>5461.4739678998867</v>
      </c>
    </row>
    <row r="22" spans="1:24" ht="15.6" x14ac:dyDescent="0.25">
      <c r="A22" s="23">
        <v>13</v>
      </c>
      <c r="B22" s="23" t="s">
        <v>56</v>
      </c>
      <c r="C22" s="24" t="s">
        <v>57</v>
      </c>
      <c r="D22" s="25"/>
      <c r="E22" s="26" t="str">
        <f t="shared" si="11"/>
        <v>Xã biên giới</v>
      </c>
      <c r="F22" s="25"/>
      <c r="G22" s="25"/>
      <c r="H22" s="25" t="s">
        <v>31</v>
      </c>
      <c r="I22" s="27">
        <v>2.4500000000000002</v>
      </c>
      <c r="J22" s="28">
        <v>1.8</v>
      </c>
      <c r="K22" s="9">
        <f t="shared" si="3"/>
        <v>50</v>
      </c>
      <c r="L22" s="9">
        <f t="shared" si="4"/>
        <v>0</v>
      </c>
      <c r="M22" s="10">
        <f>IF(ISNA(VLOOKUP(E22,Sheet2!$C$5:$D$10,2,0)),0,VLOOKUP(E22,Sheet2!$C$5:$D$10,2,0))</f>
        <v>50</v>
      </c>
      <c r="N22" s="10">
        <f t="shared" si="5"/>
        <v>90</v>
      </c>
      <c r="O22" s="10">
        <f t="shared" si="6"/>
        <v>0</v>
      </c>
      <c r="P22" s="10">
        <f>VLOOKUP(E22,Sheet2!$C$5:$D$11,2,0)</f>
        <v>50</v>
      </c>
      <c r="Q22" s="10">
        <f>VLOOKUP(C22,Sheet2!$Q$5:$V$69,6,0)</f>
        <v>40</v>
      </c>
      <c r="R22" s="29">
        <f t="shared" si="7"/>
        <v>0.15</v>
      </c>
      <c r="S22" s="29" t="str">
        <f>IF(I22&gt;Sheet2!$G$5,Sheet2!$H$5,IF(I22&gt;Sheet2!$G$6,Sheet2!$H$6,IF(I22&gt;Sheet2!$G$7,Sheet2!$H$7,IF(I22&gt;Sheet2!$G$8,Sheet2!$H$8,IF(I22&gt;Sheet2!$G$9,Sheet2!$H$9,IF(I22&gt;Sheet2!$G$10,Sheet2!$H$10,""))))))</f>
        <v/>
      </c>
      <c r="T22" s="29">
        <f>_xlfn.XLOOKUP(J22,Sheet2!$L$5:$L$13,Sheet2!$M$5:$M$13,0,-1)</f>
        <v>0</v>
      </c>
      <c r="U22" s="12">
        <f t="shared" si="1"/>
        <v>110294.61287723991</v>
      </c>
      <c r="V22" s="30">
        <f t="shared" si="8"/>
        <v>43958.770257387987</v>
      </c>
      <c r="W22" s="30">
        <f t="shared" si="9"/>
        <v>51949.588766298897</v>
      </c>
      <c r="X22" s="30">
        <f t="shared" si="10"/>
        <v>14386.253853553031</v>
      </c>
    </row>
    <row r="23" spans="1:24" ht="15.6" x14ac:dyDescent="0.25">
      <c r="A23" s="23">
        <v>14</v>
      </c>
      <c r="B23" s="23" t="s">
        <v>58</v>
      </c>
      <c r="C23" s="24" t="s">
        <v>59</v>
      </c>
      <c r="D23" s="25">
        <v>6</v>
      </c>
      <c r="E23" s="26" t="str">
        <f t="shared" si="11"/>
        <v>III</v>
      </c>
      <c r="F23" s="25" t="s">
        <v>60</v>
      </c>
      <c r="G23" s="25"/>
      <c r="H23" s="25"/>
      <c r="I23" s="27">
        <v>17.699115044247801</v>
      </c>
      <c r="J23" s="28">
        <v>84.95</v>
      </c>
      <c r="K23" s="9">
        <f t="shared" si="3"/>
        <v>56</v>
      </c>
      <c r="L23" s="9">
        <f t="shared" si="4"/>
        <v>6</v>
      </c>
      <c r="M23" s="10">
        <f>IF(ISNA(VLOOKUP(E23,Sheet2!$C$5:$D$10,2,0)),0,VLOOKUP(E23,Sheet2!$C$5:$D$10,2,0))</f>
        <v>50</v>
      </c>
      <c r="N23" s="10">
        <f t="shared" si="5"/>
        <v>96</v>
      </c>
      <c r="O23" s="10">
        <f t="shared" si="6"/>
        <v>6</v>
      </c>
      <c r="P23" s="10">
        <f>VLOOKUP(E23,Sheet2!$C$5:$D$11,2,0)</f>
        <v>50</v>
      </c>
      <c r="Q23" s="10">
        <f>VLOOKUP(C23,Sheet2!$Q$5:$V$69,6,0)</f>
        <v>40</v>
      </c>
      <c r="R23" s="29">
        <f t="shared" si="7"/>
        <v>3.9999999999999994E-2</v>
      </c>
      <c r="S23" s="29">
        <f>IF(I23&gt;Sheet2!$G$5,Sheet2!$H$5,IF(I23&gt;Sheet2!$G$6,Sheet2!$H$6,IF(I23&gt;Sheet2!$G$7,Sheet2!$H$7,IF(I23&gt;Sheet2!$G$8,Sheet2!$H$8,IF(I23&gt;Sheet2!$G$9,Sheet2!$H$9,IF(I23&gt;Sheet2!$G$10,Sheet2!$H$10,""))))))</f>
        <v>-0.03</v>
      </c>
      <c r="T23" s="29">
        <f>_xlfn.XLOOKUP(J23,Sheet2!$L$5:$L$13,Sheet2!$M$5:$M$13,0,-1)</f>
        <v>-0.08</v>
      </c>
      <c r="U23" s="12">
        <f t="shared" si="1"/>
        <v>108832.58606721977</v>
      </c>
      <c r="V23" s="30">
        <f t="shared" si="8"/>
        <v>49233.822688274544</v>
      </c>
      <c r="W23" s="30">
        <f t="shared" si="9"/>
        <v>55412.89468405216</v>
      </c>
      <c r="X23" s="30">
        <f t="shared" si="10"/>
        <v>4185.8686948930672</v>
      </c>
    </row>
    <row r="24" spans="1:24" ht="15.6" x14ac:dyDescent="0.25">
      <c r="A24" s="23">
        <v>15</v>
      </c>
      <c r="B24" s="23" t="s">
        <v>61</v>
      </c>
      <c r="C24" s="24" t="s">
        <v>62</v>
      </c>
      <c r="D24" s="25"/>
      <c r="E24" s="26" t="str">
        <f t="shared" si="11"/>
        <v>ATK</v>
      </c>
      <c r="F24" s="25" t="s">
        <v>63</v>
      </c>
      <c r="G24" s="25" t="s">
        <v>31</v>
      </c>
      <c r="H24" s="25"/>
      <c r="I24" s="27">
        <v>4.6572934973638</v>
      </c>
      <c r="J24" s="28">
        <v>65.31</v>
      </c>
      <c r="K24" s="9">
        <f t="shared" si="3"/>
        <v>50</v>
      </c>
      <c r="L24" s="9">
        <f t="shared" si="4"/>
        <v>0</v>
      </c>
      <c r="M24" s="10">
        <f>IF(ISNA(VLOOKUP(E24,Sheet2!$C$5:$D$10,2,0)),0,VLOOKUP(E24,Sheet2!$C$5:$D$10,2,0))</f>
        <v>50</v>
      </c>
      <c r="N24" s="10">
        <f t="shared" si="5"/>
        <v>90</v>
      </c>
      <c r="O24" s="10">
        <f t="shared" si="6"/>
        <v>0</v>
      </c>
      <c r="P24" s="10">
        <f>VLOOKUP(E24,Sheet2!$C$5:$D$11,2,0)</f>
        <v>50</v>
      </c>
      <c r="Q24" s="10">
        <f>VLOOKUP(C24,Sheet2!$Q$5:$V$69,6,0)</f>
        <v>40</v>
      </c>
      <c r="R24" s="29">
        <f t="shared" si="7"/>
        <v>0.09</v>
      </c>
      <c r="S24" s="29" t="str">
        <f>IF(I24&gt;Sheet2!$G$5,Sheet2!$H$5,IF(I24&gt;Sheet2!$G$6,Sheet2!$H$6,IF(I24&gt;Sheet2!$G$7,Sheet2!$H$7,IF(I24&gt;Sheet2!$G$8,Sheet2!$H$8,IF(I24&gt;Sheet2!$G$9,Sheet2!$H$9,IF(I24&gt;Sheet2!$G$10,Sheet2!$H$10,""))))))</f>
        <v/>
      </c>
      <c r="T24" s="29">
        <f>_xlfn.XLOOKUP(J24,Sheet2!$L$5:$L$13,Sheet2!$M$5:$M$13,0,-1)</f>
        <v>-6.0000000000000005E-2</v>
      </c>
      <c r="U24" s="12">
        <f t="shared" si="1"/>
        <v>104540.1113358187</v>
      </c>
      <c r="V24" s="30">
        <f t="shared" si="8"/>
        <v>43958.770257387987</v>
      </c>
      <c r="W24" s="30">
        <f t="shared" si="9"/>
        <v>51949.588766298897</v>
      </c>
      <c r="X24" s="30">
        <f t="shared" si="10"/>
        <v>8631.7523121318191</v>
      </c>
    </row>
    <row r="25" spans="1:24" ht="15.6" x14ac:dyDescent="0.25">
      <c r="A25" s="23">
        <v>16</v>
      </c>
      <c r="B25" s="23" t="s">
        <v>64</v>
      </c>
      <c r="C25" s="24" t="s">
        <v>65</v>
      </c>
      <c r="D25" s="25">
        <v>7</v>
      </c>
      <c r="E25" s="26" t="str">
        <f t="shared" si="11"/>
        <v>III</v>
      </c>
      <c r="F25" s="25" t="s">
        <v>60</v>
      </c>
      <c r="G25" s="25"/>
      <c r="H25" s="25"/>
      <c r="I25" s="27">
        <v>16.9148302561048</v>
      </c>
      <c r="J25" s="28">
        <v>88.79</v>
      </c>
      <c r="K25" s="9">
        <f t="shared" si="3"/>
        <v>57</v>
      </c>
      <c r="L25" s="9">
        <f t="shared" si="4"/>
        <v>7</v>
      </c>
      <c r="M25" s="10">
        <f>IF(ISNA(VLOOKUP(E25,Sheet2!$C$5:$D$10,2,0)),0,VLOOKUP(E25,Sheet2!$C$5:$D$10,2,0))</f>
        <v>50</v>
      </c>
      <c r="N25" s="10">
        <f t="shared" si="5"/>
        <v>97</v>
      </c>
      <c r="O25" s="10">
        <f t="shared" si="6"/>
        <v>7</v>
      </c>
      <c r="P25" s="10">
        <f>VLOOKUP(E25,Sheet2!$C$5:$D$11,2,0)</f>
        <v>50</v>
      </c>
      <c r="Q25" s="10">
        <f>VLOOKUP(C25,Sheet2!$Q$5:$V$69,6,0)</f>
        <v>40</v>
      </c>
      <c r="R25" s="29">
        <f t="shared" si="7"/>
        <v>3.9999999999999994E-2</v>
      </c>
      <c r="S25" s="29">
        <f>IF(I25&gt;Sheet2!$G$5,Sheet2!$H$5,IF(I25&gt;Sheet2!$G$6,Sheet2!$H$6,IF(I25&gt;Sheet2!$G$7,Sheet2!$H$7,IF(I25&gt;Sheet2!$G$8,Sheet2!$H$8,IF(I25&gt;Sheet2!$G$9,Sheet2!$H$9,IF(I25&gt;Sheet2!$G$10,Sheet2!$H$10,""))))))</f>
        <v>-0.03</v>
      </c>
      <c r="T25" s="29">
        <f>_xlfn.XLOOKUP(J25,Sheet2!$L$5:$L$13,Sheet2!$M$5:$M$13,0,-1)</f>
        <v>-0.08</v>
      </c>
      <c r="U25" s="12">
        <f t="shared" si="1"/>
        <v>110347.23484765067</v>
      </c>
      <c r="V25" s="30">
        <f t="shared" si="8"/>
        <v>50112.998093422306</v>
      </c>
      <c r="W25" s="30">
        <f t="shared" si="9"/>
        <v>55990.112337011036</v>
      </c>
      <c r="X25" s="30">
        <f t="shared" si="10"/>
        <v>4244.1244172173328</v>
      </c>
    </row>
    <row r="26" spans="1:24" ht="15.6" x14ac:dyDescent="0.25">
      <c r="A26" s="23">
        <v>17</v>
      </c>
      <c r="B26" s="23" t="s">
        <v>66</v>
      </c>
      <c r="C26" s="24" t="s">
        <v>67</v>
      </c>
      <c r="D26" s="25"/>
      <c r="E26" s="26" t="str">
        <f t="shared" ref="E26:E27" si="13">IF(F26="III","III",IF(G26="x","ATK",IF(H26="x","Xã biên giới",IF(F26="II","II",IF(F26="I","I","Xã còn lại")))))</f>
        <v>Xã còn lại</v>
      </c>
      <c r="F26" s="25"/>
      <c r="G26" s="25"/>
      <c r="H26" s="25"/>
      <c r="I26" s="27">
        <v>3.7530266343825698</v>
      </c>
      <c r="J26" s="28">
        <v>0</v>
      </c>
      <c r="K26" s="9">
        <f t="shared" si="3"/>
        <v>25</v>
      </c>
      <c r="L26" s="9">
        <f t="shared" si="4"/>
        <v>0</v>
      </c>
      <c r="M26" s="10">
        <f>IF(ISNA(VLOOKUP(E26,Sheet2!$C$5:$D$10,2,0)),0,VLOOKUP(E26,Sheet2!$C$5:$D$10,2,0))</f>
        <v>25</v>
      </c>
      <c r="N26" s="10">
        <f t="shared" si="5"/>
        <v>65</v>
      </c>
      <c r="O26" s="10">
        <f t="shared" si="6"/>
        <v>0</v>
      </c>
      <c r="P26" s="10">
        <f>VLOOKUP(E26,Sheet2!$C$5:$D$11,2,0)</f>
        <v>25</v>
      </c>
      <c r="Q26" s="10">
        <f>VLOOKUP(C26,Sheet2!$Q$5:$V$69,6,0)</f>
        <v>40</v>
      </c>
      <c r="R26" s="29">
        <f t="shared" si="7"/>
        <v>0.15</v>
      </c>
      <c r="S26" s="29" t="str">
        <f>IF(I26&gt;Sheet2!$G$5,Sheet2!$H$5,IF(I26&gt;Sheet2!$G$6,Sheet2!$H$6,IF(I26&gt;Sheet2!$G$7,Sheet2!$H$7,IF(I26&gt;Sheet2!$G$8,Sheet2!$H$8,IF(I26&gt;Sheet2!$G$9,Sheet2!$H$9,IF(I26&gt;Sheet2!$G$10,Sheet2!$H$10,""))))))</f>
        <v/>
      </c>
      <c r="T26" s="29">
        <f>_xlfn.XLOOKUP(J26,Sheet2!$L$5:$L$13,Sheet2!$M$5:$M$13,0,-1)</f>
        <v>0</v>
      </c>
      <c r="U26" s="12">
        <f t="shared" si="1"/>
        <v>68423.312456674117</v>
      </c>
      <c r="V26" s="30">
        <f t="shared" si="8"/>
        <v>21979.385128693993</v>
      </c>
      <c r="W26" s="30">
        <f t="shared" si="9"/>
        <v>37519.147442326983</v>
      </c>
      <c r="X26" s="30">
        <f t="shared" si="10"/>
        <v>8924.7798856531463</v>
      </c>
    </row>
    <row r="27" spans="1:24" ht="15.6" x14ac:dyDescent="0.25">
      <c r="A27" s="23">
        <v>18</v>
      </c>
      <c r="B27" s="23" t="s">
        <v>68</v>
      </c>
      <c r="C27" s="24" t="s">
        <v>69</v>
      </c>
      <c r="D27" s="25"/>
      <c r="E27" s="26" t="str">
        <f t="shared" si="13"/>
        <v>Xã còn lại</v>
      </c>
      <c r="F27" s="25"/>
      <c r="G27" s="25"/>
      <c r="H27" s="25"/>
      <c r="I27" s="27">
        <v>1.0249051962693501</v>
      </c>
      <c r="J27" s="28">
        <v>0.13</v>
      </c>
      <c r="K27" s="9">
        <f t="shared" si="3"/>
        <v>25</v>
      </c>
      <c r="L27" s="9">
        <f t="shared" si="4"/>
        <v>0</v>
      </c>
      <c r="M27" s="10">
        <f>IF(ISNA(VLOOKUP(E27,Sheet2!$C$5:$D$10,2,0)),0,VLOOKUP(E27,Sheet2!$C$5:$D$10,2,0))</f>
        <v>25</v>
      </c>
      <c r="N27" s="10">
        <f t="shared" si="5"/>
        <v>25</v>
      </c>
      <c r="O27" s="10">
        <f t="shared" si="6"/>
        <v>0</v>
      </c>
      <c r="P27" s="10">
        <f>VLOOKUP(E27,Sheet2!$C$5:$D$11,2,0)</f>
        <v>25</v>
      </c>
      <c r="Q27" s="10">
        <f>VLOOKUP(C27,Sheet2!$Q$5:$V$69,6,0)</f>
        <v>0</v>
      </c>
      <c r="R27" s="29">
        <f t="shared" si="7"/>
        <v>0.15</v>
      </c>
      <c r="S27" s="29" t="str">
        <f>IF(I27&gt;Sheet2!$G$5,Sheet2!$H$5,IF(I27&gt;Sheet2!$G$6,Sheet2!$H$6,IF(I27&gt;Sheet2!$G$7,Sheet2!$H$7,IF(I27&gt;Sheet2!$G$8,Sheet2!$H$8,IF(I27&gt;Sheet2!$G$9,Sheet2!$H$9,IF(I27&gt;Sheet2!$G$10,Sheet2!$H$10,""))))))</f>
        <v/>
      </c>
      <c r="T27" s="29">
        <f>_xlfn.XLOOKUP(J27,Sheet2!$L$5:$L$13,Sheet2!$M$5:$M$13,0,-1)</f>
        <v>0</v>
      </c>
      <c r="U27" s="12">
        <f t="shared" si="1"/>
        <v>41871.3004205658</v>
      </c>
      <c r="V27" s="30">
        <f t="shared" si="8"/>
        <v>21979.385128693993</v>
      </c>
      <c r="W27" s="30">
        <f t="shared" si="9"/>
        <v>14430.441323971916</v>
      </c>
      <c r="X27" s="30">
        <f t="shared" si="10"/>
        <v>5461.4739678998867</v>
      </c>
    </row>
    <row r="28" spans="1:24" ht="15.6" x14ac:dyDescent="0.25">
      <c r="A28" s="23">
        <v>19</v>
      </c>
      <c r="B28" s="23" t="s">
        <v>70</v>
      </c>
      <c r="C28" s="24" t="s">
        <v>71</v>
      </c>
      <c r="D28" s="25"/>
      <c r="E28" s="26" t="s">
        <v>44</v>
      </c>
      <c r="F28" s="25"/>
      <c r="G28" s="25"/>
      <c r="H28" s="25" t="s">
        <v>31</v>
      </c>
      <c r="I28" s="27">
        <v>0.862005179430263</v>
      </c>
      <c r="J28" s="28">
        <v>0</v>
      </c>
      <c r="K28" s="9">
        <f t="shared" si="3"/>
        <v>0</v>
      </c>
      <c r="L28" s="9">
        <f t="shared" si="4"/>
        <v>0</v>
      </c>
      <c r="M28" s="10">
        <f>IF(ISNA(VLOOKUP(E28,Sheet2!$C$5:$D$10,2,0)),0,VLOOKUP(E28,Sheet2!$C$5:$D$10,2,0))</f>
        <v>0</v>
      </c>
      <c r="N28" s="10">
        <f t="shared" si="5"/>
        <v>12.5</v>
      </c>
      <c r="O28" s="10">
        <f t="shared" si="6"/>
        <v>0</v>
      </c>
      <c r="P28" s="10">
        <f>VLOOKUP(E28,Sheet2!$C$5:$D$11,2,0)</f>
        <v>12.5</v>
      </c>
      <c r="Q28" s="10">
        <f>VLOOKUP(C28,Sheet2!$Q$5:$V$69,6,0)</f>
        <v>0</v>
      </c>
      <c r="R28" s="29">
        <f t="shared" si="7"/>
        <v>0.15</v>
      </c>
      <c r="S28" s="29" t="str">
        <f>IF(I28&gt;Sheet2!$G$5,Sheet2!$H$5,IF(I28&gt;Sheet2!$G$6,Sheet2!$H$6,IF(I28&gt;Sheet2!$G$7,Sheet2!$H$7,IF(I28&gt;Sheet2!$G$8,Sheet2!$H$8,IF(I28&gt;Sheet2!$G$9,Sheet2!$H$9,IF(I28&gt;Sheet2!$G$10,Sheet2!$H$10,""))))))</f>
        <v/>
      </c>
      <c r="T28" s="29">
        <f>_xlfn.XLOOKUP(J28,Sheet2!$L$5:$L$13,Sheet2!$M$5:$M$13,0,-1)</f>
        <v>0</v>
      </c>
      <c r="U28" s="12">
        <f t="shared" si="1"/>
        <v>8297.5037612838514</v>
      </c>
      <c r="V28" s="30">
        <f t="shared" si="8"/>
        <v>0</v>
      </c>
      <c r="W28" s="30">
        <f t="shared" si="9"/>
        <v>7215.220661985958</v>
      </c>
      <c r="X28" s="30">
        <f t="shared" si="10"/>
        <v>1082.2830992978936</v>
      </c>
    </row>
    <row r="29" spans="1:24" ht="15.6" x14ac:dyDescent="0.25">
      <c r="A29" s="23">
        <v>20</v>
      </c>
      <c r="B29" s="23" t="s">
        <v>72</v>
      </c>
      <c r="C29" s="24" t="s">
        <v>73</v>
      </c>
      <c r="D29" s="25">
        <v>6</v>
      </c>
      <c r="E29" s="26" t="str">
        <f t="shared" si="11"/>
        <v>III</v>
      </c>
      <c r="F29" s="25" t="s">
        <v>60</v>
      </c>
      <c r="G29" s="25"/>
      <c r="H29" s="25"/>
      <c r="I29" s="27">
        <v>28.760119301235601</v>
      </c>
      <c r="J29" s="28">
        <v>91.85</v>
      </c>
      <c r="K29" s="9">
        <f t="shared" si="3"/>
        <v>56</v>
      </c>
      <c r="L29" s="9">
        <f t="shared" si="4"/>
        <v>6</v>
      </c>
      <c r="M29" s="10">
        <f>IF(ISNA(VLOOKUP(E29,Sheet2!$C$5:$D$10,2,0)),0,VLOOKUP(E29,Sheet2!$C$5:$D$10,2,0))</f>
        <v>50</v>
      </c>
      <c r="N29" s="10">
        <f t="shared" si="5"/>
        <v>96</v>
      </c>
      <c r="O29" s="10">
        <f t="shared" si="6"/>
        <v>6</v>
      </c>
      <c r="P29" s="10">
        <f>VLOOKUP(E29,Sheet2!$C$5:$D$11,2,0)</f>
        <v>50</v>
      </c>
      <c r="Q29" s="10">
        <f>VLOOKUP(C29,Sheet2!$Q$5:$V$69,6,0)</f>
        <v>40</v>
      </c>
      <c r="R29" s="29">
        <f t="shared" si="7"/>
        <v>9.9999999999999811E-3</v>
      </c>
      <c r="S29" s="29">
        <f>IF(I29&gt;Sheet2!$G$5,Sheet2!$H$5,IF(I29&gt;Sheet2!$G$6,Sheet2!$H$6,IF(I29&gt;Sheet2!$G$7,Sheet2!$H$7,IF(I29&gt;Sheet2!$G$8,Sheet2!$H$8,IF(I29&gt;Sheet2!$G$9,Sheet2!$H$9,IF(I29&gt;Sheet2!$G$10,Sheet2!$H$10,""))))))</f>
        <v>-0.05</v>
      </c>
      <c r="T29" s="29">
        <f>_xlfn.XLOOKUP(J29,Sheet2!$L$5:$L$13,Sheet2!$M$5:$M$13,0,-1)</f>
        <v>-0.09</v>
      </c>
      <c r="U29" s="12">
        <f t="shared" si="1"/>
        <v>105693.18454604998</v>
      </c>
      <c r="V29" s="30">
        <f t="shared" si="8"/>
        <v>49233.822688274544</v>
      </c>
      <c r="W29" s="30">
        <f t="shared" si="9"/>
        <v>55412.89468405216</v>
      </c>
      <c r="X29" s="30">
        <f t="shared" si="10"/>
        <v>1046.467173723265</v>
      </c>
    </row>
    <row r="30" spans="1:24" ht="15.6" x14ac:dyDescent="0.25">
      <c r="A30" s="23">
        <v>21</v>
      </c>
      <c r="B30" s="23" t="s">
        <v>74</v>
      </c>
      <c r="C30" s="24" t="s">
        <v>75</v>
      </c>
      <c r="D30" s="25"/>
      <c r="E30" s="26" t="str">
        <f t="shared" si="11"/>
        <v>I</v>
      </c>
      <c r="F30" s="25" t="s">
        <v>53</v>
      </c>
      <c r="G30" s="25"/>
      <c r="H30" s="25"/>
      <c r="I30" s="27">
        <v>10.317743662977501</v>
      </c>
      <c r="J30" s="28">
        <v>45.4</v>
      </c>
      <c r="K30" s="9">
        <f t="shared" si="3"/>
        <v>30</v>
      </c>
      <c r="L30" s="9">
        <f t="shared" si="4"/>
        <v>0</v>
      </c>
      <c r="M30" s="10">
        <f>IF(ISNA(VLOOKUP(E30,Sheet2!$C$5:$D$10,2,0)),0,VLOOKUP(E30,Sheet2!$C$5:$D$10,2,0))</f>
        <v>30</v>
      </c>
      <c r="N30" s="10">
        <f t="shared" si="5"/>
        <v>70</v>
      </c>
      <c r="O30" s="10">
        <f t="shared" si="6"/>
        <v>0</v>
      </c>
      <c r="P30" s="10">
        <f>VLOOKUP(E30,Sheet2!$C$5:$D$11,2,0)</f>
        <v>30</v>
      </c>
      <c r="Q30" s="10">
        <f>VLOOKUP(C30,Sheet2!$Q$5:$V$69,6,0)</f>
        <v>40</v>
      </c>
      <c r="R30" s="29">
        <f t="shared" si="7"/>
        <v>0.09</v>
      </c>
      <c r="S30" s="29">
        <f>IF(I30&gt;Sheet2!$G$5,Sheet2!$H$5,IF(I30&gt;Sheet2!$G$6,Sheet2!$H$6,IF(I30&gt;Sheet2!$G$7,Sheet2!$H$7,IF(I30&gt;Sheet2!$G$8,Sheet2!$H$8,IF(I30&gt;Sheet2!$G$9,Sheet2!$H$9,IF(I30&gt;Sheet2!$G$10,Sheet2!$H$10,""))))))</f>
        <v>-0.02</v>
      </c>
      <c r="T30" s="29">
        <f>_xlfn.XLOOKUP(J30,Sheet2!$L$5:$L$13,Sheet2!$M$5:$M$13,0,-1)</f>
        <v>-0.04</v>
      </c>
      <c r="U30" s="12">
        <f t="shared" si="1"/>
        <v>72790.742669094034</v>
      </c>
      <c r="V30" s="30">
        <f t="shared" si="8"/>
        <v>26375.262154432792</v>
      </c>
      <c r="W30" s="30">
        <f t="shared" si="9"/>
        <v>40405.23570712137</v>
      </c>
      <c r="X30" s="30">
        <f t="shared" si="10"/>
        <v>6010.2448075398743</v>
      </c>
    </row>
    <row r="31" spans="1:24" ht="15.6" x14ac:dyDescent="0.25">
      <c r="A31" s="23">
        <v>22</v>
      </c>
      <c r="B31" s="23" t="s">
        <v>76</v>
      </c>
      <c r="C31" s="24" t="s">
        <v>77</v>
      </c>
      <c r="D31" s="25"/>
      <c r="E31" s="26" t="str">
        <f t="shared" ref="E31:E33" si="14">IF(F31="III","III",IF(G31="x","ATK",IF(H31="x","Xã biên giới",IF(F31="II","II",IF(F31="I","I","Xã còn lại")))))</f>
        <v>Xã còn lại</v>
      </c>
      <c r="F31" s="25"/>
      <c r="G31" s="25"/>
      <c r="H31" s="25"/>
      <c r="I31" s="27">
        <v>1.40845070422535</v>
      </c>
      <c r="J31" s="28">
        <v>0.86</v>
      </c>
      <c r="K31" s="9">
        <f t="shared" si="3"/>
        <v>25</v>
      </c>
      <c r="L31" s="9">
        <f t="shared" si="4"/>
        <v>0</v>
      </c>
      <c r="M31" s="10">
        <f>IF(ISNA(VLOOKUP(E31,Sheet2!$C$5:$D$10,2,0)),0,VLOOKUP(E31,Sheet2!$C$5:$D$10,2,0))</f>
        <v>25</v>
      </c>
      <c r="N31" s="10">
        <f t="shared" si="5"/>
        <v>65</v>
      </c>
      <c r="O31" s="10">
        <f t="shared" si="6"/>
        <v>0</v>
      </c>
      <c r="P31" s="10">
        <f>VLOOKUP(E31,Sheet2!$C$5:$D$11,2,0)</f>
        <v>25</v>
      </c>
      <c r="Q31" s="10">
        <f>VLOOKUP(C31,Sheet2!$Q$5:$V$69,6,0)</f>
        <v>40</v>
      </c>
      <c r="R31" s="29">
        <f t="shared" si="7"/>
        <v>0.15</v>
      </c>
      <c r="S31" s="29" t="str">
        <f>IF(I31&gt;Sheet2!$G$5,Sheet2!$H$5,IF(I31&gt;Sheet2!$G$6,Sheet2!$H$6,IF(I31&gt;Sheet2!$G$7,Sheet2!$H$7,IF(I31&gt;Sheet2!$G$8,Sheet2!$H$8,IF(I31&gt;Sheet2!$G$9,Sheet2!$H$9,IF(I31&gt;Sheet2!$G$10,Sheet2!$H$10,""))))))</f>
        <v/>
      </c>
      <c r="T31" s="29">
        <f>_xlfn.XLOOKUP(J31,Sheet2!$L$5:$L$13,Sheet2!$M$5:$M$13,0,-1)</f>
        <v>0</v>
      </c>
      <c r="U31" s="12">
        <f t="shared" si="1"/>
        <v>68423.312456674117</v>
      </c>
      <c r="V31" s="30">
        <f t="shared" si="8"/>
        <v>21979.385128693993</v>
      </c>
      <c r="W31" s="30">
        <f t="shared" si="9"/>
        <v>37519.147442326983</v>
      </c>
      <c r="X31" s="30">
        <f t="shared" si="10"/>
        <v>8924.7798856531463</v>
      </c>
    </row>
    <row r="32" spans="1:24" ht="15.6" x14ac:dyDescent="0.25">
      <c r="A32" s="23">
        <v>23</v>
      </c>
      <c r="B32" s="23" t="s">
        <v>78</v>
      </c>
      <c r="C32" s="24" t="s">
        <v>79</v>
      </c>
      <c r="D32" s="25"/>
      <c r="E32" s="26" t="str">
        <f t="shared" si="14"/>
        <v>Xã còn lại</v>
      </c>
      <c r="F32" s="25"/>
      <c r="G32" s="25"/>
      <c r="H32" s="25"/>
      <c r="I32" s="27">
        <v>0.91802222580125603</v>
      </c>
      <c r="J32" s="28">
        <v>0</v>
      </c>
      <c r="K32" s="9">
        <f t="shared" si="3"/>
        <v>25</v>
      </c>
      <c r="L32" s="9">
        <f t="shared" si="4"/>
        <v>0</v>
      </c>
      <c r="M32" s="10">
        <f>IF(ISNA(VLOOKUP(E32,Sheet2!$C$5:$D$10,2,0)),0,VLOOKUP(E32,Sheet2!$C$5:$D$10,2,0))</f>
        <v>25</v>
      </c>
      <c r="N32" s="10">
        <f t="shared" si="5"/>
        <v>25</v>
      </c>
      <c r="O32" s="10">
        <f t="shared" si="6"/>
        <v>0</v>
      </c>
      <c r="P32" s="10">
        <f>VLOOKUP(E32,Sheet2!$C$5:$D$11,2,0)</f>
        <v>25</v>
      </c>
      <c r="Q32" s="10">
        <f>VLOOKUP(C32,Sheet2!$Q$5:$V$69,6,0)</f>
        <v>0</v>
      </c>
      <c r="R32" s="29">
        <f t="shared" si="7"/>
        <v>0.15</v>
      </c>
      <c r="S32" s="29" t="str">
        <f>IF(I32&gt;Sheet2!$G$5,Sheet2!$H$5,IF(I32&gt;Sheet2!$G$6,Sheet2!$H$6,IF(I32&gt;Sheet2!$G$7,Sheet2!$H$7,IF(I32&gt;Sheet2!$G$8,Sheet2!$H$8,IF(I32&gt;Sheet2!$G$9,Sheet2!$H$9,IF(I32&gt;Sheet2!$G$10,Sheet2!$H$10,""))))))</f>
        <v/>
      </c>
      <c r="T32" s="29">
        <f>_xlfn.XLOOKUP(J32,Sheet2!$L$5:$L$13,Sheet2!$M$5:$M$13,0,-1)</f>
        <v>0</v>
      </c>
      <c r="U32" s="12">
        <f t="shared" si="1"/>
        <v>41871.3004205658</v>
      </c>
      <c r="V32" s="30">
        <f t="shared" si="8"/>
        <v>21979.385128693993</v>
      </c>
      <c r="W32" s="30">
        <f t="shared" si="9"/>
        <v>14430.441323971916</v>
      </c>
      <c r="X32" s="30">
        <f t="shared" si="10"/>
        <v>5461.4739678998867</v>
      </c>
    </row>
    <row r="33" spans="1:24" ht="15.6" x14ac:dyDescent="0.25">
      <c r="A33" s="23">
        <v>24</v>
      </c>
      <c r="B33" s="23" t="s">
        <v>80</v>
      </c>
      <c r="C33" s="24" t="s">
        <v>81</v>
      </c>
      <c r="D33" s="25"/>
      <c r="E33" s="26" t="str">
        <f t="shared" si="14"/>
        <v>Xã còn lại</v>
      </c>
      <c r="F33" s="25"/>
      <c r="G33" s="25"/>
      <c r="H33" s="25"/>
      <c r="I33" s="27">
        <v>1.4033942558746699</v>
      </c>
      <c r="J33" s="28">
        <v>1.55</v>
      </c>
      <c r="K33" s="9">
        <f t="shared" si="3"/>
        <v>25</v>
      </c>
      <c r="L33" s="9">
        <f t="shared" si="4"/>
        <v>0</v>
      </c>
      <c r="M33" s="10">
        <f>IF(ISNA(VLOOKUP(E33,Sheet2!$C$5:$D$10,2,0)),0,VLOOKUP(E33,Sheet2!$C$5:$D$10,2,0))</f>
        <v>25</v>
      </c>
      <c r="N33" s="10">
        <f t="shared" si="5"/>
        <v>75</v>
      </c>
      <c r="O33" s="10">
        <f t="shared" si="6"/>
        <v>0</v>
      </c>
      <c r="P33" s="10">
        <f>VLOOKUP(E33,Sheet2!$C$5:$D$11,2,0)</f>
        <v>25</v>
      </c>
      <c r="Q33" s="10">
        <f>VLOOKUP(C33,Sheet2!$Q$5:$V$69,6,0)</f>
        <v>50</v>
      </c>
      <c r="R33" s="29">
        <f t="shared" si="7"/>
        <v>0.15</v>
      </c>
      <c r="S33" s="29" t="str">
        <f>IF(I33&gt;Sheet2!$G$5,Sheet2!$H$5,IF(I33&gt;Sheet2!$G$6,Sheet2!$H$6,IF(I33&gt;Sheet2!$G$7,Sheet2!$H$7,IF(I33&gt;Sheet2!$G$8,Sheet2!$H$8,IF(I33&gt;Sheet2!$G$9,Sheet2!$H$9,IF(I33&gt;Sheet2!$G$10,Sheet2!$H$10,""))))))</f>
        <v/>
      </c>
      <c r="T33" s="29">
        <f>_xlfn.XLOOKUP(J33,Sheet2!$L$5:$L$13,Sheet2!$M$5:$M$13,0,-1)</f>
        <v>0</v>
      </c>
      <c r="U33" s="12">
        <f t="shared" si="1"/>
        <v>75061.315465701206</v>
      </c>
      <c r="V33" s="30">
        <f t="shared" si="8"/>
        <v>21979.385128693993</v>
      </c>
      <c r="W33" s="30">
        <f t="shared" si="9"/>
        <v>43291.32397191575</v>
      </c>
      <c r="X33" s="30">
        <f t="shared" si="10"/>
        <v>9790.6063650914621</v>
      </c>
    </row>
    <row r="34" spans="1:24" ht="15.6" x14ac:dyDescent="0.25">
      <c r="A34" s="23">
        <v>25</v>
      </c>
      <c r="B34" s="23" t="s">
        <v>82</v>
      </c>
      <c r="C34" s="24" t="s">
        <v>83</v>
      </c>
      <c r="D34" s="25"/>
      <c r="E34" s="26" t="str">
        <f t="shared" si="11"/>
        <v>I</v>
      </c>
      <c r="F34" s="25" t="s">
        <v>53</v>
      </c>
      <c r="G34" s="25"/>
      <c r="H34" s="25"/>
      <c r="I34" s="27">
        <v>3.0094582975064501</v>
      </c>
      <c r="J34" s="28">
        <v>19.059999999999999</v>
      </c>
      <c r="K34" s="9">
        <f t="shared" si="3"/>
        <v>30</v>
      </c>
      <c r="L34" s="9">
        <f t="shared" si="4"/>
        <v>0</v>
      </c>
      <c r="M34" s="10">
        <f>IF(ISNA(VLOOKUP(E34,Sheet2!$C$5:$D$10,2,0)),0,VLOOKUP(E34,Sheet2!$C$5:$D$10,2,0))</f>
        <v>30</v>
      </c>
      <c r="N34" s="10">
        <f t="shared" si="5"/>
        <v>70</v>
      </c>
      <c r="O34" s="10">
        <f t="shared" si="6"/>
        <v>0</v>
      </c>
      <c r="P34" s="10">
        <f>VLOOKUP(E34,Sheet2!$C$5:$D$11,2,0)</f>
        <v>30</v>
      </c>
      <c r="Q34" s="10">
        <f>VLOOKUP(C34,Sheet2!$Q$5:$V$69,6,0)</f>
        <v>40</v>
      </c>
      <c r="R34" s="29">
        <f t="shared" si="7"/>
        <v>0.13999999999999999</v>
      </c>
      <c r="S34" s="29" t="str">
        <f>IF(I34&gt;Sheet2!$G$5,Sheet2!$H$5,IF(I34&gt;Sheet2!$G$6,Sheet2!$H$6,IF(I34&gt;Sheet2!$G$7,Sheet2!$H$7,IF(I34&gt;Sheet2!$G$8,Sheet2!$H$8,IF(I34&gt;Sheet2!$G$9,Sheet2!$H$9,IF(I34&gt;Sheet2!$G$10,Sheet2!$H$10,""))))))</f>
        <v/>
      </c>
      <c r="T34" s="29">
        <f>_xlfn.XLOOKUP(J34,Sheet2!$L$5:$L$13,Sheet2!$M$5:$M$13,0,-1)</f>
        <v>-9.9999999999999967E-3</v>
      </c>
      <c r="U34" s="12">
        <f t="shared" si="1"/>
        <v>76129.76756217175</v>
      </c>
      <c r="V34" s="30">
        <f t="shared" si="8"/>
        <v>26375.262154432792</v>
      </c>
      <c r="W34" s="30">
        <f t="shared" si="9"/>
        <v>40405.23570712137</v>
      </c>
      <c r="X34" s="30">
        <f t="shared" si="10"/>
        <v>9349.2697006175822</v>
      </c>
    </row>
    <row r="35" spans="1:24" ht="15.6" x14ac:dyDescent="0.25">
      <c r="A35" s="23">
        <v>26</v>
      </c>
      <c r="B35" s="23" t="s">
        <v>84</v>
      </c>
      <c r="C35" s="24" t="s">
        <v>85</v>
      </c>
      <c r="D35" s="25"/>
      <c r="E35" s="26" t="str">
        <f t="shared" ref="E35" si="15">IF(F35="III","III",IF(G35="x","ATK",IF(H35="x","Xã biên giới",IF(F35="II","II",IF(F35="I","I","Xã còn lại")))))</f>
        <v>Xã còn lại</v>
      </c>
      <c r="F35" s="25"/>
      <c r="G35" s="25"/>
      <c r="H35" s="25"/>
      <c r="I35" s="27">
        <v>0.59265442404006696</v>
      </c>
      <c r="J35" s="28">
        <v>0.19</v>
      </c>
      <c r="K35" s="9">
        <f t="shared" si="3"/>
        <v>25</v>
      </c>
      <c r="L35" s="9">
        <f t="shared" si="4"/>
        <v>0</v>
      </c>
      <c r="M35" s="10">
        <f>IF(ISNA(VLOOKUP(E35,Sheet2!$C$5:$D$10,2,0)),0,VLOOKUP(E35,Sheet2!$C$5:$D$10,2,0))</f>
        <v>25</v>
      </c>
      <c r="N35" s="10">
        <f t="shared" si="5"/>
        <v>25</v>
      </c>
      <c r="O35" s="10">
        <f t="shared" si="6"/>
        <v>0</v>
      </c>
      <c r="P35" s="10">
        <f>VLOOKUP(E35,Sheet2!$C$5:$D$11,2,0)</f>
        <v>25</v>
      </c>
      <c r="Q35" s="10">
        <f>VLOOKUP(C35,Sheet2!$Q$5:$V$69,6,0)</f>
        <v>0</v>
      </c>
      <c r="R35" s="29">
        <f t="shared" si="7"/>
        <v>0.15</v>
      </c>
      <c r="S35" s="29" t="str">
        <f>IF(I35&gt;Sheet2!$G$5,Sheet2!$H$5,IF(I35&gt;Sheet2!$G$6,Sheet2!$H$6,IF(I35&gt;Sheet2!$G$7,Sheet2!$H$7,IF(I35&gt;Sheet2!$G$8,Sheet2!$H$8,IF(I35&gt;Sheet2!$G$9,Sheet2!$H$9,IF(I35&gt;Sheet2!$G$10,Sheet2!$H$10,""))))))</f>
        <v/>
      </c>
      <c r="T35" s="29">
        <f>_xlfn.XLOOKUP(J35,Sheet2!$L$5:$L$13,Sheet2!$M$5:$M$13,0,-1)</f>
        <v>0</v>
      </c>
      <c r="U35" s="12">
        <f t="shared" si="1"/>
        <v>41871.3004205658</v>
      </c>
      <c r="V35" s="30">
        <f t="shared" si="8"/>
        <v>21979.385128693993</v>
      </c>
      <c r="W35" s="30">
        <f t="shared" si="9"/>
        <v>14430.441323971916</v>
      </c>
      <c r="X35" s="30">
        <f t="shared" si="10"/>
        <v>5461.4739678998867</v>
      </c>
    </row>
    <row r="36" spans="1:24" ht="15.6" x14ac:dyDescent="0.25">
      <c r="A36" s="23">
        <v>27</v>
      </c>
      <c r="B36" s="23" t="s">
        <v>86</v>
      </c>
      <c r="C36" s="24" t="s">
        <v>87</v>
      </c>
      <c r="D36" s="25"/>
      <c r="E36" s="26" t="s">
        <v>44</v>
      </c>
      <c r="F36" s="25"/>
      <c r="G36" s="25"/>
      <c r="H36" s="25"/>
      <c r="I36" s="27">
        <v>0.542841937200639</v>
      </c>
      <c r="J36" s="28">
        <v>0</v>
      </c>
      <c r="K36" s="9">
        <f t="shared" si="3"/>
        <v>0</v>
      </c>
      <c r="L36" s="9">
        <f t="shared" si="4"/>
        <v>0</v>
      </c>
      <c r="M36" s="10">
        <f>IF(ISNA(VLOOKUP(E36,Sheet2!$C$5:$D$10,2,0)),0,VLOOKUP(E36,Sheet2!$C$5:$D$10,2,0))</f>
        <v>0</v>
      </c>
      <c r="N36" s="10">
        <f t="shared" si="5"/>
        <v>12.5</v>
      </c>
      <c r="O36" s="10">
        <f t="shared" si="6"/>
        <v>0</v>
      </c>
      <c r="P36" s="10">
        <f>VLOOKUP(E36,Sheet2!$C$5:$D$11,2,0)</f>
        <v>12.5</v>
      </c>
      <c r="Q36" s="10">
        <f>VLOOKUP(C36,Sheet2!$Q$5:$V$69,6,0)</f>
        <v>0</v>
      </c>
      <c r="R36" s="29">
        <f t="shared" si="7"/>
        <v>0.15</v>
      </c>
      <c r="S36" s="29" t="str">
        <f>IF(I36&gt;Sheet2!$G$5,Sheet2!$H$5,IF(I36&gt;Sheet2!$G$6,Sheet2!$H$6,IF(I36&gt;Sheet2!$G$7,Sheet2!$H$7,IF(I36&gt;Sheet2!$G$8,Sheet2!$H$8,IF(I36&gt;Sheet2!$G$9,Sheet2!$H$9,IF(I36&gt;Sheet2!$G$10,Sheet2!$H$10,""))))))</f>
        <v/>
      </c>
      <c r="T36" s="29">
        <f>_xlfn.XLOOKUP(J36,Sheet2!$L$5:$L$13,Sheet2!$M$5:$M$13,0,-1)</f>
        <v>0</v>
      </c>
      <c r="U36" s="12">
        <f t="shared" si="1"/>
        <v>8297.5037612838514</v>
      </c>
      <c r="V36" s="30">
        <f t="shared" si="8"/>
        <v>0</v>
      </c>
      <c r="W36" s="30">
        <f t="shared" si="9"/>
        <v>7215.220661985958</v>
      </c>
      <c r="X36" s="30">
        <f t="shared" si="10"/>
        <v>1082.2830992978936</v>
      </c>
    </row>
    <row r="37" spans="1:24" ht="15.6" x14ac:dyDescent="0.25">
      <c r="A37" s="23">
        <v>28</v>
      </c>
      <c r="B37" s="23" t="s">
        <v>88</v>
      </c>
      <c r="C37" s="24" t="s">
        <v>89</v>
      </c>
      <c r="D37" s="25"/>
      <c r="E37" s="26" t="s">
        <v>44</v>
      </c>
      <c r="F37" s="25"/>
      <c r="G37" s="25"/>
      <c r="H37" s="25" t="s">
        <v>31</v>
      </c>
      <c r="I37" s="27">
        <v>1.6847348373864599</v>
      </c>
      <c r="J37" s="28">
        <v>0.09</v>
      </c>
      <c r="K37" s="9">
        <f t="shared" si="3"/>
        <v>0</v>
      </c>
      <c r="L37" s="9">
        <f t="shared" si="4"/>
        <v>0</v>
      </c>
      <c r="M37" s="10">
        <f>IF(ISNA(VLOOKUP(E37,Sheet2!$C$5:$D$10,2,0)),0,VLOOKUP(E37,Sheet2!$C$5:$D$10,2,0))</f>
        <v>0</v>
      </c>
      <c r="N37" s="10">
        <f t="shared" si="5"/>
        <v>12.5</v>
      </c>
      <c r="O37" s="10">
        <f t="shared" si="6"/>
        <v>0</v>
      </c>
      <c r="P37" s="10">
        <f>VLOOKUP(E37,Sheet2!$C$5:$D$11,2,0)</f>
        <v>12.5</v>
      </c>
      <c r="Q37" s="10">
        <f>VLOOKUP(C37,Sheet2!$Q$5:$V$69,6,0)</f>
        <v>0</v>
      </c>
      <c r="R37" s="29">
        <f t="shared" si="7"/>
        <v>0.15</v>
      </c>
      <c r="S37" s="29" t="str">
        <f>IF(I37&gt;Sheet2!$G$5,Sheet2!$H$5,IF(I37&gt;Sheet2!$G$6,Sheet2!$H$6,IF(I37&gt;Sheet2!$G$7,Sheet2!$H$7,IF(I37&gt;Sheet2!$G$8,Sheet2!$H$8,IF(I37&gt;Sheet2!$G$9,Sheet2!$H$9,IF(I37&gt;Sheet2!$G$10,Sheet2!$H$10,""))))))</f>
        <v/>
      </c>
      <c r="T37" s="29">
        <f>_xlfn.XLOOKUP(J37,Sheet2!$L$5:$L$13,Sheet2!$M$5:$M$13,0,-1)</f>
        <v>0</v>
      </c>
      <c r="U37" s="12">
        <f t="shared" si="1"/>
        <v>8297.5037612838514</v>
      </c>
      <c r="V37" s="30">
        <f t="shared" si="8"/>
        <v>0</v>
      </c>
      <c r="W37" s="30">
        <f t="shared" si="9"/>
        <v>7215.220661985958</v>
      </c>
      <c r="X37" s="30">
        <f t="shared" si="10"/>
        <v>1082.2830992978936</v>
      </c>
    </row>
    <row r="38" spans="1:24" ht="15.6" x14ac:dyDescent="0.25">
      <c r="A38" s="23">
        <v>29</v>
      </c>
      <c r="B38" s="23" t="s">
        <v>90</v>
      </c>
      <c r="C38" s="24" t="s">
        <v>91</v>
      </c>
      <c r="D38" s="25"/>
      <c r="E38" s="26" t="s">
        <v>44</v>
      </c>
      <c r="F38" s="25"/>
      <c r="G38" s="25"/>
      <c r="H38" s="25" t="s">
        <v>31</v>
      </c>
      <c r="I38" s="27">
        <v>0.55604665088824901</v>
      </c>
      <c r="J38" s="28">
        <v>0.94</v>
      </c>
      <c r="K38" s="9">
        <f t="shared" si="3"/>
        <v>0</v>
      </c>
      <c r="L38" s="9">
        <f t="shared" si="4"/>
        <v>0</v>
      </c>
      <c r="M38" s="10">
        <f>IF(ISNA(VLOOKUP(E38,Sheet2!$C$5:$D$10,2,0)),0,VLOOKUP(E38,Sheet2!$C$5:$D$10,2,0))</f>
        <v>0</v>
      </c>
      <c r="N38" s="10">
        <f t="shared" si="5"/>
        <v>12.5</v>
      </c>
      <c r="O38" s="10">
        <f t="shared" si="6"/>
        <v>0</v>
      </c>
      <c r="P38" s="10">
        <f>VLOOKUP(E38,Sheet2!$C$5:$D$11,2,0)</f>
        <v>12.5</v>
      </c>
      <c r="Q38" s="10">
        <f>VLOOKUP(C38,Sheet2!$Q$5:$V$69,6,0)</f>
        <v>0</v>
      </c>
      <c r="R38" s="29">
        <f t="shared" si="7"/>
        <v>0.15</v>
      </c>
      <c r="S38" s="29" t="str">
        <f>IF(I38&gt;Sheet2!$G$5,Sheet2!$H$5,IF(I38&gt;Sheet2!$G$6,Sheet2!$H$6,IF(I38&gt;Sheet2!$G$7,Sheet2!$H$7,IF(I38&gt;Sheet2!$G$8,Sheet2!$H$8,IF(I38&gt;Sheet2!$G$9,Sheet2!$H$9,IF(I38&gt;Sheet2!$G$10,Sheet2!$H$10,""))))))</f>
        <v/>
      </c>
      <c r="T38" s="29">
        <f>_xlfn.XLOOKUP(J38,Sheet2!$L$5:$L$13,Sheet2!$M$5:$M$13,0,-1)</f>
        <v>0</v>
      </c>
      <c r="U38" s="12">
        <f t="shared" si="1"/>
        <v>8297.5037612838514</v>
      </c>
      <c r="V38" s="30">
        <f t="shared" si="8"/>
        <v>0</v>
      </c>
      <c r="W38" s="30">
        <f t="shared" si="9"/>
        <v>7215.220661985958</v>
      </c>
      <c r="X38" s="30">
        <f t="shared" si="10"/>
        <v>1082.2830992978936</v>
      </c>
    </row>
    <row r="39" spans="1:24" ht="15.6" x14ac:dyDescent="0.25">
      <c r="A39" s="23">
        <v>30</v>
      </c>
      <c r="B39" s="23" t="s">
        <v>92</v>
      </c>
      <c r="C39" s="24" t="s">
        <v>93</v>
      </c>
      <c r="D39" s="25">
        <v>10</v>
      </c>
      <c r="E39" s="26" t="str">
        <f t="shared" si="11"/>
        <v>III</v>
      </c>
      <c r="F39" s="25" t="s">
        <v>60</v>
      </c>
      <c r="G39" s="25" t="s">
        <v>31</v>
      </c>
      <c r="H39" s="25"/>
      <c r="I39" s="27">
        <v>15.84</v>
      </c>
      <c r="J39" s="28">
        <v>86</v>
      </c>
      <c r="K39" s="9">
        <f t="shared" si="3"/>
        <v>60</v>
      </c>
      <c r="L39" s="9">
        <f t="shared" si="4"/>
        <v>10</v>
      </c>
      <c r="M39" s="10">
        <f>IF(ISNA(VLOOKUP(E39,Sheet2!$C$5:$D$10,2,0)),0,VLOOKUP(E39,Sheet2!$C$5:$D$10,2,0))</f>
        <v>50</v>
      </c>
      <c r="N39" s="10">
        <f t="shared" si="5"/>
        <v>100</v>
      </c>
      <c r="O39" s="10">
        <f t="shared" si="6"/>
        <v>10</v>
      </c>
      <c r="P39" s="10">
        <f>VLOOKUP(E39,Sheet2!$C$5:$D$11,2,0)</f>
        <v>50</v>
      </c>
      <c r="Q39" s="10">
        <f>VLOOKUP(C39,Sheet2!$Q$5:$V$69,6,0)</f>
        <v>40</v>
      </c>
      <c r="R39" s="29">
        <f t="shared" si="7"/>
        <v>3.9999999999999994E-2</v>
      </c>
      <c r="S39" s="29">
        <f>IF(I39&gt;Sheet2!$G$5,Sheet2!$H$5,IF(I39&gt;Sheet2!$G$6,Sheet2!$H$6,IF(I39&gt;Sheet2!$G$7,Sheet2!$H$7,IF(I39&gt;Sheet2!$G$8,Sheet2!$H$8,IF(I39&gt;Sheet2!$G$9,Sheet2!$H$9,IF(I39&gt;Sheet2!$G$10,Sheet2!$H$10,""))))))</f>
        <v>-0.03</v>
      </c>
      <c r="T39" s="29">
        <f>_xlfn.XLOOKUP(J39,Sheet2!$L$5:$L$13,Sheet2!$M$5:$M$13,0,-1)</f>
        <v>-0.08</v>
      </c>
      <c r="U39" s="12">
        <f t="shared" si="1"/>
        <v>114891.18118894339</v>
      </c>
      <c r="V39" s="30">
        <f t="shared" si="8"/>
        <v>52750.524308865584</v>
      </c>
      <c r="W39" s="30">
        <f t="shared" si="9"/>
        <v>57721.765295887664</v>
      </c>
      <c r="X39" s="30">
        <f t="shared" si="10"/>
        <v>4418.8915841901298</v>
      </c>
    </row>
    <row r="40" spans="1:24" ht="15.6" x14ac:dyDescent="0.25">
      <c r="A40" s="23">
        <v>31</v>
      </c>
      <c r="B40" s="23" t="s">
        <v>94</v>
      </c>
      <c r="C40" s="24" t="s">
        <v>95</v>
      </c>
      <c r="D40" s="25">
        <v>7</v>
      </c>
      <c r="E40" s="26" t="str">
        <f t="shared" si="11"/>
        <v>III</v>
      </c>
      <c r="F40" s="25" t="s">
        <v>60</v>
      </c>
      <c r="G40" s="25"/>
      <c r="H40" s="25"/>
      <c r="I40" s="27">
        <v>33.843717001056</v>
      </c>
      <c r="J40" s="28">
        <v>71.97</v>
      </c>
      <c r="K40" s="9">
        <f t="shared" si="3"/>
        <v>57</v>
      </c>
      <c r="L40" s="9">
        <f t="shared" si="4"/>
        <v>7</v>
      </c>
      <c r="M40" s="10">
        <f>IF(ISNA(VLOOKUP(E40,Sheet2!$C$5:$D$10,2,0)),0,VLOOKUP(E40,Sheet2!$C$5:$D$10,2,0))</f>
        <v>50</v>
      </c>
      <c r="N40" s="10">
        <f t="shared" si="5"/>
        <v>97</v>
      </c>
      <c r="O40" s="10">
        <f t="shared" si="6"/>
        <v>7</v>
      </c>
      <c r="P40" s="10">
        <f>VLOOKUP(E40,Sheet2!$C$5:$D$11,2,0)</f>
        <v>50</v>
      </c>
      <c r="Q40" s="10">
        <f>VLOOKUP(C40,Sheet2!$Q$5:$V$69,6,0)</f>
        <v>40</v>
      </c>
      <c r="R40" s="29">
        <f t="shared" si="7"/>
        <v>1.999999999999999E-2</v>
      </c>
      <c r="S40" s="29">
        <f>IF(I40&gt;Sheet2!$G$5,Sheet2!$H$5,IF(I40&gt;Sheet2!$G$6,Sheet2!$H$6,IF(I40&gt;Sheet2!$G$7,Sheet2!$H$7,IF(I40&gt;Sheet2!$G$8,Sheet2!$H$8,IF(I40&gt;Sheet2!$G$9,Sheet2!$H$9,IF(I40&gt;Sheet2!$G$10,Sheet2!$H$10,""))))))</f>
        <v>-0.06</v>
      </c>
      <c r="T40" s="29">
        <f>_xlfn.XLOOKUP(J40,Sheet2!$L$5:$L$13,Sheet2!$M$5:$M$13,0,-1)</f>
        <v>-7.0000000000000007E-2</v>
      </c>
      <c r="U40" s="12">
        <f t="shared" si="1"/>
        <v>108225.17263904201</v>
      </c>
      <c r="V40" s="30">
        <f t="shared" si="8"/>
        <v>50112.998093422306</v>
      </c>
      <c r="W40" s="30">
        <f t="shared" si="9"/>
        <v>55990.112337011036</v>
      </c>
      <c r="X40" s="30">
        <f t="shared" si="10"/>
        <v>2122.062208608666</v>
      </c>
    </row>
    <row r="41" spans="1:24" ht="15.6" x14ac:dyDescent="0.25">
      <c r="A41" s="23">
        <v>32</v>
      </c>
      <c r="B41" s="23" t="s">
        <v>96</v>
      </c>
      <c r="C41" s="24" t="s">
        <v>97</v>
      </c>
      <c r="D41" s="25"/>
      <c r="E41" s="26" t="str">
        <f t="shared" si="11"/>
        <v>ATK</v>
      </c>
      <c r="F41" s="25" t="s">
        <v>63</v>
      </c>
      <c r="G41" s="25" t="s">
        <v>31</v>
      </c>
      <c r="H41" s="25"/>
      <c r="I41" s="27">
        <v>8.5843373493975896</v>
      </c>
      <c r="J41" s="28">
        <v>62.55</v>
      </c>
      <c r="K41" s="9">
        <f t="shared" si="3"/>
        <v>50</v>
      </c>
      <c r="L41" s="9">
        <f t="shared" si="4"/>
        <v>0</v>
      </c>
      <c r="M41" s="10">
        <f>IF(ISNA(VLOOKUP(E41,Sheet2!$C$5:$D$10,2,0)),0,VLOOKUP(E41,Sheet2!$C$5:$D$10,2,0))</f>
        <v>50</v>
      </c>
      <c r="N41" s="10">
        <f t="shared" si="5"/>
        <v>90</v>
      </c>
      <c r="O41" s="10">
        <f t="shared" si="6"/>
        <v>0</v>
      </c>
      <c r="P41" s="10">
        <f>VLOOKUP(E41,Sheet2!$C$5:$D$11,2,0)</f>
        <v>50</v>
      </c>
      <c r="Q41" s="10">
        <f>VLOOKUP(C41,Sheet2!$Q$5:$V$69,6,0)</f>
        <v>40</v>
      </c>
      <c r="R41" s="29">
        <f t="shared" si="7"/>
        <v>7.9999999999999988E-2</v>
      </c>
      <c r="S41" s="29">
        <f>IF(I41&gt;Sheet2!$G$5,Sheet2!$H$5,IF(I41&gt;Sheet2!$G$6,Sheet2!$H$6,IF(I41&gt;Sheet2!$G$7,Sheet2!$H$7,IF(I41&gt;Sheet2!$G$8,Sheet2!$H$8,IF(I41&gt;Sheet2!$G$9,Sheet2!$H$9,IF(I41&gt;Sheet2!$G$10,Sheet2!$H$10,""))))))</f>
        <v>-0.01</v>
      </c>
      <c r="T41" s="29">
        <f>_xlfn.XLOOKUP(J41,Sheet2!$L$5:$L$13,Sheet2!$M$5:$M$13,0,-1)</f>
        <v>-6.0000000000000005E-2</v>
      </c>
      <c r="U41" s="12">
        <f t="shared" si="1"/>
        <v>103581.02774558183</v>
      </c>
      <c r="V41" s="30">
        <f t="shared" si="8"/>
        <v>43958.770257387987</v>
      </c>
      <c r="W41" s="30">
        <f t="shared" si="9"/>
        <v>51949.588766298897</v>
      </c>
      <c r="X41" s="30">
        <f t="shared" si="10"/>
        <v>7672.6687218949492</v>
      </c>
    </row>
    <row r="42" spans="1:24" ht="15.6" x14ac:dyDescent="0.25">
      <c r="A42" s="23">
        <v>33</v>
      </c>
      <c r="B42" s="23" t="s">
        <v>98</v>
      </c>
      <c r="C42" s="24" t="s">
        <v>99</v>
      </c>
      <c r="D42" s="25">
        <v>10</v>
      </c>
      <c r="E42" s="26" t="str">
        <f t="shared" si="11"/>
        <v>III</v>
      </c>
      <c r="F42" s="25" t="s">
        <v>60</v>
      </c>
      <c r="G42" s="25"/>
      <c r="H42" s="25"/>
      <c r="I42" s="27">
        <v>29.3225123500353</v>
      </c>
      <c r="J42" s="28">
        <v>78.7</v>
      </c>
      <c r="K42" s="9">
        <f t="shared" si="3"/>
        <v>60</v>
      </c>
      <c r="L42" s="9">
        <f t="shared" si="4"/>
        <v>10</v>
      </c>
      <c r="M42" s="10">
        <f>IF(ISNA(VLOOKUP(E42,Sheet2!$C$5:$D$10,2,0)),0,VLOOKUP(E42,Sheet2!$C$5:$D$10,2,0))</f>
        <v>50</v>
      </c>
      <c r="N42" s="10">
        <f t="shared" si="5"/>
        <v>100</v>
      </c>
      <c r="O42" s="10">
        <f t="shared" si="6"/>
        <v>10</v>
      </c>
      <c r="P42" s="10">
        <f>VLOOKUP(E42,Sheet2!$C$5:$D$11,2,0)</f>
        <v>50</v>
      </c>
      <c r="Q42" s="10">
        <f>VLOOKUP(C42,Sheet2!$Q$5:$V$69,6,0)</f>
        <v>40</v>
      </c>
      <c r="R42" s="29">
        <f t="shared" si="7"/>
        <v>2.9999999999999985E-2</v>
      </c>
      <c r="S42" s="29">
        <f>IF(I42&gt;Sheet2!$G$5,Sheet2!$H$5,IF(I42&gt;Sheet2!$G$6,Sheet2!$H$6,IF(I42&gt;Sheet2!$G$7,Sheet2!$H$7,IF(I42&gt;Sheet2!$G$8,Sheet2!$H$8,IF(I42&gt;Sheet2!$G$9,Sheet2!$H$9,IF(I42&gt;Sheet2!$G$10,Sheet2!$H$10,""))))))</f>
        <v>-0.05</v>
      </c>
      <c r="T42" s="29">
        <f>_xlfn.XLOOKUP(J42,Sheet2!$L$5:$L$13,Sheet2!$M$5:$M$13,0,-1)</f>
        <v>-7.0000000000000007E-2</v>
      </c>
      <c r="U42" s="12">
        <f t="shared" si="1"/>
        <v>113786.45829289586</v>
      </c>
      <c r="V42" s="30">
        <f t="shared" si="8"/>
        <v>52750.524308865584</v>
      </c>
      <c r="W42" s="30">
        <f t="shared" si="9"/>
        <v>57721.765295887664</v>
      </c>
      <c r="X42" s="30">
        <f t="shared" si="10"/>
        <v>3314.1686881425962</v>
      </c>
    </row>
    <row r="43" spans="1:24" ht="15.6" x14ac:dyDescent="0.25">
      <c r="A43" s="23">
        <v>34</v>
      </c>
      <c r="B43" s="23" t="s">
        <v>100</v>
      </c>
      <c r="C43" s="24" t="s">
        <v>101</v>
      </c>
      <c r="D43" s="25"/>
      <c r="E43" s="26" t="str">
        <f t="shared" si="11"/>
        <v>II</v>
      </c>
      <c r="F43" s="25" t="s">
        <v>63</v>
      </c>
      <c r="G43" s="25"/>
      <c r="H43" s="25"/>
      <c r="I43" s="27">
        <v>1.84563758389262</v>
      </c>
      <c r="J43" s="28">
        <v>22.62</v>
      </c>
      <c r="K43" s="9">
        <f t="shared" si="3"/>
        <v>40</v>
      </c>
      <c r="L43" s="9">
        <f t="shared" si="4"/>
        <v>0</v>
      </c>
      <c r="M43" s="10">
        <f>IF(ISNA(VLOOKUP(E43,Sheet2!$C$5:$D$10,2,0)),0,VLOOKUP(E43,Sheet2!$C$5:$D$10,2,0))</f>
        <v>40</v>
      </c>
      <c r="N43" s="10">
        <f t="shared" si="5"/>
        <v>80</v>
      </c>
      <c r="O43" s="10">
        <f t="shared" si="6"/>
        <v>0</v>
      </c>
      <c r="P43" s="10">
        <f>VLOOKUP(E43,Sheet2!$C$5:$D$11,2,0)</f>
        <v>40</v>
      </c>
      <c r="Q43" s="10">
        <f>VLOOKUP(C43,Sheet2!$Q$5:$V$69,6,0)</f>
        <v>40</v>
      </c>
      <c r="R43" s="29">
        <f t="shared" si="7"/>
        <v>0.13</v>
      </c>
      <c r="S43" s="29" t="str">
        <f>IF(I43&gt;Sheet2!$G$5,Sheet2!$H$5,IF(I43&gt;Sheet2!$G$6,Sheet2!$H$6,IF(I43&gt;Sheet2!$G$7,Sheet2!$H$7,IF(I43&gt;Sheet2!$G$8,Sheet2!$H$8,IF(I43&gt;Sheet2!$G$9,Sheet2!$H$9,IF(I43&gt;Sheet2!$G$10,Sheet2!$H$10,""))))))</f>
        <v/>
      </c>
      <c r="T43" s="29">
        <f>_xlfn.XLOOKUP(J43,Sheet2!$L$5:$L$13,Sheet2!$M$5:$M$13,0,-1)</f>
        <v>-1.9999999999999997E-2</v>
      </c>
      <c r="U43" s="12">
        <f t="shared" si="1"/>
        <v>91919.204140161193</v>
      </c>
      <c r="V43" s="30">
        <f t="shared" si="8"/>
        <v>35167.01620591039</v>
      </c>
      <c r="W43" s="30">
        <f t="shared" si="9"/>
        <v>46177.412236710137</v>
      </c>
      <c r="X43" s="30">
        <f t="shared" si="10"/>
        <v>10574.775697540668</v>
      </c>
    </row>
    <row r="44" spans="1:24" ht="15.6" x14ac:dyDescent="0.25">
      <c r="A44" s="23">
        <v>35</v>
      </c>
      <c r="B44" s="23" t="s">
        <v>102</v>
      </c>
      <c r="C44" s="24" t="s">
        <v>103</v>
      </c>
      <c r="D44" s="25"/>
      <c r="E44" s="26" t="str">
        <f t="shared" ref="E44" si="16">IF(F44="III","III",IF(G44="x","ATK",IF(H44="x","Xã biên giới",IF(F44="II","II",IF(F44="I","I","Xã còn lại")))))</f>
        <v>Xã còn lại</v>
      </c>
      <c r="F44" s="25"/>
      <c r="G44" s="25"/>
      <c r="H44" s="25"/>
      <c r="I44" s="27">
        <v>3.0674846625766898</v>
      </c>
      <c r="J44" s="28">
        <v>8</v>
      </c>
      <c r="K44" s="9">
        <f t="shared" si="3"/>
        <v>25</v>
      </c>
      <c r="L44" s="9">
        <f t="shared" si="4"/>
        <v>0</v>
      </c>
      <c r="M44" s="10">
        <f>IF(ISNA(VLOOKUP(E44,Sheet2!$C$5:$D$10,2,0)),0,VLOOKUP(E44,Sheet2!$C$5:$D$10,2,0))</f>
        <v>25</v>
      </c>
      <c r="N44" s="10">
        <f t="shared" si="5"/>
        <v>75</v>
      </c>
      <c r="O44" s="10">
        <f t="shared" si="6"/>
        <v>0</v>
      </c>
      <c r="P44" s="10">
        <f>VLOOKUP(E44,Sheet2!$C$5:$D$11,2,0)</f>
        <v>25</v>
      </c>
      <c r="Q44" s="10">
        <f>VLOOKUP(C44,Sheet2!$Q$5:$V$69,6,0)</f>
        <v>50</v>
      </c>
      <c r="R44" s="29">
        <f t="shared" si="7"/>
        <v>0.15</v>
      </c>
      <c r="S44" s="29" t="str">
        <f>IF(I44&gt;Sheet2!$G$5,Sheet2!$H$5,IF(I44&gt;Sheet2!$G$6,Sheet2!$H$6,IF(I44&gt;Sheet2!$G$7,Sheet2!$H$7,IF(I44&gt;Sheet2!$G$8,Sheet2!$H$8,IF(I44&gt;Sheet2!$G$9,Sheet2!$H$9,IF(I44&gt;Sheet2!$G$10,Sheet2!$H$10,""))))))</f>
        <v/>
      </c>
      <c r="T44" s="29">
        <f>_xlfn.XLOOKUP(J44,Sheet2!$L$5:$L$13,Sheet2!$M$5:$M$13,0,-1)</f>
        <v>0</v>
      </c>
      <c r="U44" s="12">
        <f t="shared" si="1"/>
        <v>75061.315465701206</v>
      </c>
      <c r="V44" s="30">
        <f t="shared" si="8"/>
        <v>21979.385128693993</v>
      </c>
      <c r="W44" s="30">
        <f t="shared" si="9"/>
        <v>43291.32397191575</v>
      </c>
      <c r="X44" s="30">
        <f t="shared" si="10"/>
        <v>9790.6063650914621</v>
      </c>
    </row>
    <row r="45" spans="1:24" ht="15.6" x14ac:dyDescent="0.25">
      <c r="A45" s="23">
        <v>36</v>
      </c>
      <c r="B45" s="23" t="s">
        <v>104</v>
      </c>
      <c r="C45" s="24" t="s">
        <v>105</v>
      </c>
      <c r="D45" s="25"/>
      <c r="E45" s="26" t="s">
        <v>44</v>
      </c>
      <c r="F45" s="25"/>
      <c r="G45" s="25"/>
      <c r="H45" s="25" t="s">
        <v>31</v>
      </c>
      <c r="I45" s="27">
        <v>1.8591151553184799</v>
      </c>
      <c r="J45" s="28">
        <v>0.62</v>
      </c>
      <c r="K45" s="9">
        <f t="shared" si="3"/>
        <v>0</v>
      </c>
      <c r="L45" s="9">
        <f t="shared" si="4"/>
        <v>0</v>
      </c>
      <c r="M45" s="10">
        <f>IF(ISNA(VLOOKUP(E45,Sheet2!$C$5:$D$10,2,0)),0,VLOOKUP(E45,Sheet2!$C$5:$D$10,2,0))</f>
        <v>0</v>
      </c>
      <c r="N45" s="10">
        <f t="shared" si="5"/>
        <v>12.5</v>
      </c>
      <c r="O45" s="10">
        <f t="shared" si="6"/>
        <v>0</v>
      </c>
      <c r="P45" s="10">
        <f>VLOOKUP(E45,Sheet2!$C$5:$D$11,2,0)</f>
        <v>12.5</v>
      </c>
      <c r="Q45" s="10">
        <f>VLOOKUP(C45,Sheet2!$Q$5:$V$69,6,0)</f>
        <v>0</v>
      </c>
      <c r="R45" s="29">
        <f t="shared" si="7"/>
        <v>0.15</v>
      </c>
      <c r="S45" s="29" t="str">
        <f>IF(I45&gt;Sheet2!$G$5,Sheet2!$H$5,IF(I45&gt;Sheet2!$G$6,Sheet2!$H$6,IF(I45&gt;Sheet2!$G$7,Sheet2!$H$7,IF(I45&gt;Sheet2!$G$8,Sheet2!$H$8,IF(I45&gt;Sheet2!$G$9,Sheet2!$H$9,IF(I45&gt;Sheet2!$G$10,Sheet2!$H$10,""))))))</f>
        <v/>
      </c>
      <c r="T45" s="29">
        <f>_xlfn.XLOOKUP(J45,Sheet2!$L$5:$L$13,Sheet2!$M$5:$M$13,0,-1)</f>
        <v>0</v>
      </c>
      <c r="U45" s="12">
        <f t="shared" si="1"/>
        <v>8297.5037612838514</v>
      </c>
      <c r="V45" s="30">
        <f t="shared" si="8"/>
        <v>0</v>
      </c>
      <c r="W45" s="30">
        <f t="shared" si="9"/>
        <v>7215.220661985958</v>
      </c>
      <c r="X45" s="30">
        <f t="shared" si="10"/>
        <v>1082.2830992978936</v>
      </c>
    </row>
    <row r="46" spans="1:24" ht="15.6" x14ac:dyDescent="0.25">
      <c r="A46" s="23">
        <v>37</v>
      </c>
      <c r="B46" s="23" t="s">
        <v>106</v>
      </c>
      <c r="C46" s="24" t="s">
        <v>107</v>
      </c>
      <c r="D46" s="25"/>
      <c r="E46" s="26" t="str">
        <f t="shared" si="11"/>
        <v>Xã biên giới</v>
      </c>
      <c r="F46" s="25"/>
      <c r="G46" s="25"/>
      <c r="H46" s="25" t="s">
        <v>31</v>
      </c>
      <c r="I46" s="27">
        <v>1.78529203121305</v>
      </c>
      <c r="J46" s="28">
        <v>1.35</v>
      </c>
      <c r="K46" s="9">
        <f t="shared" si="3"/>
        <v>50</v>
      </c>
      <c r="L46" s="9">
        <f t="shared" si="4"/>
        <v>0</v>
      </c>
      <c r="M46" s="10">
        <f>IF(ISNA(VLOOKUP(E46,Sheet2!$C$5:$D$10,2,0)),0,VLOOKUP(E46,Sheet2!$C$5:$D$10,2,0))</f>
        <v>50</v>
      </c>
      <c r="N46" s="10">
        <f t="shared" si="5"/>
        <v>50</v>
      </c>
      <c r="O46" s="10">
        <f t="shared" si="6"/>
        <v>0</v>
      </c>
      <c r="P46" s="10">
        <f>VLOOKUP(E46,Sheet2!$C$5:$D$11,2,0)</f>
        <v>50</v>
      </c>
      <c r="Q46" s="10">
        <f>VLOOKUP(C46,Sheet2!$Q$5:$V$69,6,0)</f>
        <v>0</v>
      </c>
      <c r="R46" s="29">
        <f t="shared" si="7"/>
        <v>0.15</v>
      </c>
      <c r="S46" s="29" t="str">
        <f>IF(I46&gt;Sheet2!$G$5,Sheet2!$H$5,IF(I46&gt;Sheet2!$G$6,Sheet2!$H$6,IF(I46&gt;Sheet2!$G$7,Sheet2!$H$7,IF(I46&gt;Sheet2!$G$8,Sheet2!$H$8,IF(I46&gt;Sheet2!$G$9,Sheet2!$H$9,IF(I46&gt;Sheet2!$G$10,Sheet2!$H$10,""))))))</f>
        <v/>
      </c>
      <c r="T46" s="29">
        <f>_xlfn.XLOOKUP(J46,Sheet2!$L$5:$L$13,Sheet2!$M$5:$M$13,0,-1)</f>
        <v>0</v>
      </c>
      <c r="U46" s="12">
        <f t="shared" si="1"/>
        <v>83742.6008411316</v>
      </c>
      <c r="V46" s="30">
        <f t="shared" si="8"/>
        <v>43958.770257387987</v>
      </c>
      <c r="W46" s="30">
        <f t="shared" si="9"/>
        <v>28860.882647943832</v>
      </c>
      <c r="X46" s="30">
        <f t="shared" si="10"/>
        <v>10922.947935799773</v>
      </c>
    </row>
    <row r="47" spans="1:24" ht="15.6" x14ac:dyDescent="0.25">
      <c r="A47" s="23">
        <v>38</v>
      </c>
      <c r="B47" s="23" t="s">
        <v>108</v>
      </c>
      <c r="C47" s="24" t="s">
        <v>109</v>
      </c>
      <c r="D47" s="25">
        <v>5</v>
      </c>
      <c r="E47" s="26" t="str">
        <f t="shared" si="11"/>
        <v>II</v>
      </c>
      <c r="F47" s="25" t="s">
        <v>63</v>
      </c>
      <c r="G47" s="25"/>
      <c r="H47" s="25"/>
      <c r="I47" s="27">
        <v>3.3560311284046702</v>
      </c>
      <c r="J47" s="28">
        <v>35.56</v>
      </c>
      <c r="K47" s="9">
        <f t="shared" si="3"/>
        <v>45</v>
      </c>
      <c r="L47" s="9">
        <f t="shared" si="4"/>
        <v>5</v>
      </c>
      <c r="M47" s="10">
        <f>IF(ISNA(VLOOKUP(E47,Sheet2!$C$5:$D$10,2,0)),0,VLOOKUP(E47,Sheet2!$C$5:$D$10,2,0))</f>
        <v>40</v>
      </c>
      <c r="N47" s="10">
        <f t="shared" si="5"/>
        <v>85</v>
      </c>
      <c r="O47" s="10">
        <f t="shared" si="6"/>
        <v>5</v>
      </c>
      <c r="P47" s="10">
        <f>VLOOKUP(E47,Sheet2!$C$5:$D$11,2,0)</f>
        <v>40</v>
      </c>
      <c r="Q47" s="10">
        <f>VLOOKUP(C47,Sheet2!$Q$5:$V$69,6,0)</f>
        <v>40</v>
      </c>
      <c r="R47" s="29">
        <f t="shared" si="7"/>
        <v>0.12</v>
      </c>
      <c r="S47" s="29" t="str">
        <f>IF(I47&gt;Sheet2!$G$5,Sheet2!$H$5,IF(I47&gt;Sheet2!$G$6,Sheet2!$H$6,IF(I47&gt;Sheet2!$G$7,Sheet2!$H$7,IF(I47&gt;Sheet2!$G$8,Sheet2!$H$8,IF(I47&gt;Sheet2!$G$9,Sheet2!$H$9,IF(I47&gt;Sheet2!$G$10,Sheet2!$H$10,""))))))</f>
        <v/>
      </c>
      <c r="T47" s="29">
        <f>_xlfn.XLOOKUP(J47,Sheet2!$L$5:$L$13,Sheet2!$M$5:$M$13,0,-1)</f>
        <v>-0.03</v>
      </c>
      <c r="U47" s="12">
        <f t="shared" si="1"/>
        <v>99261.560981132148</v>
      </c>
      <c r="V47" s="30">
        <f t="shared" si="8"/>
        <v>39562.893231649192</v>
      </c>
      <c r="W47" s="30">
        <f t="shared" si="9"/>
        <v>49063.500501504517</v>
      </c>
      <c r="X47" s="30">
        <f t="shared" si="10"/>
        <v>10635.167247978445</v>
      </c>
    </row>
    <row r="48" spans="1:24" ht="15.6" x14ac:dyDescent="0.25">
      <c r="A48" s="23">
        <v>39</v>
      </c>
      <c r="B48" s="23" t="s">
        <v>110</v>
      </c>
      <c r="C48" s="24" t="s">
        <v>111</v>
      </c>
      <c r="D48" s="25">
        <v>12</v>
      </c>
      <c r="E48" s="26" t="str">
        <f t="shared" si="11"/>
        <v>III</v>
      </c>
      <c r="F48" s="25" t="s">
        <v>60</v>
      </c>
      <c r="G48" s="25" t="s">
        <v>31</v>
      </c>
      <c r="H48" s="25"/>
      <c r="I48" s="27">
        <v>21.084745762711901</v>
      </c>
      <c r="J48" s="28">
        <v>80</v>
      </c>
      <c r="K48" s="9">
        <f t="shared" si="3"/>
        <v>62</v>
      </c>
      <c r="L48" s="9">
        <f t="shared" si="4"/>
        <v>12</v>
      </c>
      <c r="M48" s="10">
        <f>IF(ISNA(VLOOKUP(E48,Sheet2!$C$5:$D$10,2,0)),0,VLOOKUP(E48,Sheet2!$C$5:$D$10,2,0))</f>
        <v>50</v>
      </c>
      <c r="N48" s="10">
        <f t="shared" si="5"/>
        <v>102</v>
      </c>
      <c r="O48" s="10">
        <f t="shared" si="6"/>
        <v>12</v>
      </c>
      <c r="P48" s="10">
        <f>VLOOKUP(E48,Sheet2!$C$5:$D$11,2,0)</f>
        <v>50</v>
      </c>
      <c r="Q48" s="10">
        <f>VLOOKUP(C48,Sheet2!$Q$5:$V$69,6,0)</f>
        <v>40</v>
      </c>
      <c r="R48" s="29">
        <f t="shared" si="7"/>
        <v>0.03</v>
      </c>
      <c r="S48" s="29">
        <f>IF(I48&gt;Sheet2!$G$5,Sheet2!$H$5,IF(I48&gt;Sheet2!$G$6,Sheet2!$H$6,IF(I48&gt;Sheet2!$G$7,Sheet2!$H$7,IF(I48&gt;Sheet2!$G$8,Sheet2!$H$8,IF(I48&gt;Sheet2!$G$9,Sheet2!$H$9,IF(I48&gt;Sheet2!$G$10,Sheet2!$H$10,""))))))</f>
        <v>-0.04</v>
      </c>
      <c r="T48" s="29">
        <f>_xlfn.XLOOKUP(J48,Sheet2!$L$5:$L$13,Sheet2!$M$5:$M$13,0,-1)</f>
        <v>-0.08</v>
      </c>
      <c r="U48" s="12">
        <f t="shared" si="1"/>
        <v>116786.62799259553</v>
      </c>
      <c r="V48" s="30">
        <f t="shared" si="8"/>
        <v>54508.875119161108</v>
      </c>
      <c r="W48" s="30">
        <f t="shared" si="9"/>
        <v>58876.200601805424</v>
      </c>
      <c r="X48" s="30">
        <f t="shared" si="10"/>
        <v>3401.5522716289956</v>
      </c>
    </row>
    <row r="49" spans="1:24" ht="15.6" x14ac:dyDescent="0.25">
      <c r="A49" s="23">
        <v>40</v>
      </c>
      <c r="B49" s="23" t="s">
        <v>112</v>
      </c>
      <c r="C49" s="24" t="s">
        <v>113</v>
      </c>
      <c r="D49" s="25">
        <v>9</v>
      </c>
      <c r="E49" s="26" t="str">
        <f t="shared" si="11"/>
        <v>III</v>
      </c>
      <c r="F49" s="25" t="s">
        <v>60</v>
      </c>
      <c r="G49" s="25" t="s">
        <v>31</v>
      </c>
      <c r="H49" s="25"/>
      <c r="I49" s="27">
        <v>25.959079283887501</v>
      </c>
      <c r="J49" s="28">
        <v>79.98</v>
      </c>
      <c r="K49" s="9">
        <f t="shared" si="3"/>
        <v>59</v>
      </c>
      <c r="L49" s="9">
        <f t="shared" si="4"/>
        <v>9</v>
      </c>
      <c r="M49" s="10">
        <f>IF(ISNA(VLOOKUP(E49,Sheet2!$C$5:$D$10,2,0)),0,VLOOKUP(E49,Sheet2!$C$5:$D$10,2,0))</f>
        <v>50</v>
      </c>
      <c r="N49" s="10">
        <f t="shared" si="5"/>
        <v>99</v>
      </c>
      <c r="O49" s="10">
        <f t="shared" si="6"/>
        <v>9</v>
      </c>
      <c r="P49" s="10">
        <f>VLOOKUP(E49,Sheet2!$C$5:$D$11,2,0)</f>
        <v>50</v>
      </c>
      <c r="Q49" s="10">
        <f>VLOOKUP(C49,Sheet2!$Q$5:$V$69,6,0)</f>
        <v>40</v>
      </c>
      <c r="R49" s="29">
        <f t="shared" si="7"/>
        <v>2.9999999999999985E-2</v>
      </c>
      <c r="S49" s="29">
        <f>IF(I49&gt;Sheet2!$G$5,Sheet2!$H$5,IF(I49&gt;Sheet2!$G$6,Sheet2!$H$6,IF(I49&gt;Sheet2!$G$7,Sheet2!$H$7,IF(I49&gt;Sheet2!$G$8,Sheet2!$H$8,IF(I49&gt;Sheet2!$G$9,Sheet2!$H$9,IF(I49&gt;Sheet2!$G$10,Sheet2!$H$10,""))))))</f>
        <v>-0.05</v>
      </c>
      <c r="T49" s="29">
        <f>_xlfn.XLOOKUP(J49,Sheet2!$L$5:$L$13,Sheet2!$M$5:$M$13,0,-1)</f>
        <v>-7.0000000000000007E-2</v>
      </c>
      <c r="U49" s="12">
        <f t="shared" si="1"/>
        <v>112286.373443046</v>
      </c>
      <c r="V49" s="30">
        <f t="shared" si="8"/>
        <v>51871.348903717822</v>
      </c>
      <c r="W49" s="30">
        <f t="shared" si="9"/>
        <v>57144.547642928788</v>
      </c>
      <c r="X49" s="30">
        <f t="shared" si="10"/>
        <v>3270.4768963993965</v>
      </c>
    </row>
    <row r="50" spans="1:24" ht="15.6" x14ac:dyDescent="0.25">
      <c r="A50" s="23">
        <v>41</v>
      </c>
      <c r="B50" s="23" t="s">
        <v>114</v>
      </c>
      <c r="C50" s="24" t="s">
        <v>115</v>
      </c>
      <c r="D50" s="25"/>
      <c r="E50" s="26" t="s">
        <v>44</v>
      </c>
      <c r="F50" s="25"/>
      <c r="G50" s="25"/>
      <c r="H50" s="25" t="s">
        <v>31</v>
      </c>
      <c r="I50" s="27">
        <v>3.4635769752249499</v>
      </c>
      <c r="J50" s="28">
        <v>12.13</v>
      </c>
      <c r="K50" s="9">
        <f t="shared" si="3"/>
        <v>0</v>
      </c>
      <c r="L50" s="9">
        <f t="shared" si="4"/>
        <v>0</v>
      </c>
      <c r="M50" s="10">
        <f>IF(ISNA(VLOOKUP(E50,Sheet2!$C$5:$D$10,2,0)),0,VLOOKUP(E50,Sheet2!$C$5:$D$10,2,0))</f>
        <v>0</v>
      </c>
      <c r="N50" s="10">
        <f t="shared" si="5"/>
        <v>12.5</v>
      </c>
      <c r="O50" s="10">
        <f t="shared" si="6"/>
        <v>0</v>
      </c>
      <c r="P50" s="10">
        <f>VLOOKUP(E50,Sheet2!$C$5:$D$11,2,0)</f>
        <v>12.5</v>
      </c>
      <c r="Q50" s="10">
        <f>VLOOKUP(C50,Sheet2!$Q$5:$V$69,6,0)</f>
        <v>0</v>
      </c>
      <c r="R50" s="29">
        <f t="shared" si="7"/>
        <v>0.13999999999999999</v>
      </c>
      <c r="S50" s="29" t="str">
        <f>IF(I50&gt;Sheet2!$G$5,Sheet2!$H$5,IF(I50&gt;Sheet2!$G$6,Sheet2!$H$6,IF(I50&gt;Sheet2!$G$7,Sheet2!$H$7,IF(I50&gt;Sheet2!$G$8,Sheet2!$H$8,IF(I50&gt;Sheet2!$G$9,Sheet2!$H$9,IF(I50&gt;Sheet2!$G$10,Sheet2!$H$10,""))))))</f>
        <v/>
      </c>
      <c r="T50" s="29">
        <f>_xlfn.XLOOKUP(J50,Sheet2!$L$5:$L$13,Sheet2!$M$5:$M$13,0,-1)</f>
        <v>-9.9999999999999967E-3</v>
      </c>
      <c r="U50" s="12">
        <f t="shared" si="1"/>
        <v>8225.3515546639919</v>
      </c>
      <c r="V50" s="30">
        <f t="shared" si="8"/>
        <v>0</v>
      </c>
      <c r="W50" s="30">
        <f t="shared" si="9"/>
        <v>7215.220661985958</v>
      </c>
      <c r="X50" s="30">
        <f t="shared" si="10"/>
        <v>1010.130892678034</v>
      </c>
    </row>
    <row r="51" spans="1:24" ht="15.6" x14ac:dyDescent="0.25">
      <c r="A51" s="23">
        <v>42</v>
      </c>
      <c r="B51" s="23" t="s">
        <v>116</v>
      </c>
      <c r="C51" s="24" t="s">
        <v>117</v>
      </c>
      <c r="D51" s="25"/>
      <c r="E51" s="26" t="str">
        <f t="shared" si="11"/>
        <v>Xã biên giới</v>
      </c>
      <c r="F51" s="25" t="s">
        <v>53</v>
      </c>
      <c r="G51" s="25"/>
      <c r="H51" s="25" t="s">
        <v>31</v>
      </c>
      <c r="I51" s="27">
        <v>2.5362896793747001</v>
      </c>
      <c r="J51" s="28">
        <v>25.8</v>
      </c>
      <c r="K51" s="9">
        <f t="shared" si="3"/>
        <v>50</v>
      </c>
      <c r="L51" s="9">
        <f t="shared" si="4"/>
        <v>0</v>
      </c>
      <c r="M51" s="10">
        <f>IF(ISNA(VLOOKUP(E51,Sheet2!$C$5:$D$10,2,0)),0,VLOOKUP(E51,Sheet2!$C$5:$D$10,2,0))</f>
        <v>50</v>
      </c>
      <c r="N51" s="10">
        <f t="shared" si="5"/>
        <v>90</v>
      </c>
      <c r="O51" s="10">
        <f t="shared" si="6"/>
        <v>0</v>
      </c>
      <c r="P51" s="10">
        <f>VLOOKUP(E51,Sheet2!$C$5:$D$11,2,0)</f>
        <v>50</v>
      </c>
      <c r="Q51" s="10">
        <f>VLOOKUP(C51,Sheet2!$Q$5:$V$69,6,0)</f>
        <v>40</v>
      </c>
      <c r="R51" s="29">
        <f t="shared" si="7"/>
        <v>0.13</v>
      </c>
      <c r="S51" s="29" t="str">
        <f>IF(I51&gt;Sheet2!$G$5,Sheet2!$H$5,IF(I51&gt;Sheet2!$G$6,Sheet2!$H$6,IF(I51&gt;Sheet2!$G$7,Sheet2!$H$7,IF(I51&gt;Sheet2!$G$8,Sheet2!$H$8,IF(I51&gt;Sheet2!$G$9,Sheet2!$H$9,IF(I51&gt;Sheet2!$G$10,Sheet2!$H$10,""))))))</f>
        <v/>
      </c>
      <c r="T51" s="29">
        <f>_xlfn.XLOOKUP(J51,Sheet2!$L$5:$L$13,Sheet2!$M$5:$M$13,0,-1)</f>
        <v>-1.9999999999999997E-2</v>
      </c>
      <c r="U51" s="12">
        <f t="shared" si="1"/>
        <v>108376.44569676617</v>
      </c>
      <c r="V51" s="30">
        <f t="shared" si="8"/>
        <v>43958.770257387987</v>
      </c>
      <c r="W51" s="30">
        <f t="shared" si="9"/>
        <v>51949.588766298897</v>
      </c>
      <c r="X51" s="30">
        <f t="shared" si="10"/>
        <v>12468.086673079295</v>
      </c>
    </row>
    <row r="52" spans="1:24" ht="15.6" x14ac:dyDescent="0.25">
      <c r="A52" s="23">
        <v>43</v>
      </c>
      <c r="B52" s="23" t="s">
        <v>118</v>
      </c>
      <c r="C52" s="24" t="s">
        <v>119</v>
      </c>
      <c r="D52" s="25">
        <v>5</v>
      </c>
      <c r="E52" s="26" t="str">
        <f t="shared" si="11"/>
        <v>III</v>
      </c>
      <c r="F52" s="25" t="s">
        <v>60</v>
      </c>
      <c r="G52" s="25" t="s">
        <v>31</v>
      </c>
      <c r="H52" s="25" t="s">
        <v>31</v>
      </c>
      <c r="I52" s="27">
        <v>14.379457917261099</v>
      </c>
      <c r="J52" s="28">
        <v>75.430000000000007</v>
      </c>
      <c r="K52" s="9">
        <f t="shared" si="3"/>
        <v>55</v>
      </c>
      <c r="L52" s="9">
        <f t="shared" si="4"/>
        <v>5</v>
      </c>
      <c r="M52" s="10">
        <f>IF(ISNA(VLOOKUP(E52,Sheet2!$C$5:$D$10,2,0)),0,VLOOKUP(E52,Sheet2!$C$5:$D$10,2,0))</f>
        <v>50</v>
      </c>
      <c r="N52" s="10">
        <f t="shared" si="5"/>
        <v>95</v>
      </c>
      <c r="O52" s="10">
        <f t="shared" si="6"/>
        <v>5</v>
      </c>
      <c r="P52" s="10">
        <f>VLOOKUP(E52,Sheet2!$C$5:$D$11,2,0)</f>
        <v>50</v>
      </c>
      <c r="Q52" s="10">
        <f>VLOOKUP(C52,Sheet2!$Q$5:$V$69,6,0)</f>
        <v>40</v>
      </c>
      <c r="R52" s="29">
        <f t="shared" si="7"/>
        <v>5.9999999999999984E-2</v>
      </c>
      <c r="S52" s="29">
        <f>IF(I52&gt;Sheet2!$G$5,Sheet2!$H$5,IF(I52&gt;Sheet2!$G$6,Sheet2!$H$6,IF(I52&gt;Sheet2!$G$7,Sheet2!$H$7,IF(I52&gt;Sheet2!$G$8,Sheet2!$H$8,IF(I52&gt;Sheet2!$G$9,Sheet2!$H$9,IF(I52&gt;Sheet2!$G$10,Sheet2!$H$10,""))))))</f>
        <v>-0.02</v>
      </c>
      <c r="T52" s="29">
        <f>_xlfn.XLOOKUP(J52,Sheet2!$L$5:$L$13,Sheet2!$M$5:$M$13,0,-1)</f>
        <v>-7.0000000000000007E-2</v>
      </c>
      <c r="U52" s="12">
        <f t="shared" si="1"/>
        <v>109381.74377307328</v>
      </c>
      <c r="V52" s="30">
        <f t="shared" si="8"/>
        <v>48354.647283126789</v>
      </c>
      <c r="W52" s="30">
        <f t="shared" si="9"/>
        <v>54835.677031093284</v>
      </c>
      <c r="X52" s="30">
        <f t="shared" si="10"/>
        <v>6191.4194588532027</v>
      </c>
    </row>
    <row r="53" spans="1:24" ht="15.6" x14ac:dyDescent="0.25">
      <c r="A53" s="23">
        <v>44</v>
      </c>
      <c r="B53" s="23" t="s">
        <v>120</v>
      </c>
      <c r="C53" s="24" t="s">
        <v>121</v>
      </c>
      <c r="D53" s="25"/>
      <c r="E53" s="26" t="s">
        <v>44</v>
      </c>
      <c r="F53" s="25"/>
      <c r="G53" s="25"/>
      <c r="H53" s="25" t="s">
        <v>31</v>
      </c>
      <c r="I53" s="27">
        <v>1.9105077928607299</v>
      </c>
      <c r="J53" s="28">
        <v>1.77</v>
      </c>
      <c r="K53" s="9">
        <f t="shared" si="3"/>
        <v>0</v>
      </c>
      <c r="L53" s="9">
        <f t="shared" si="4"/>
        <v>0</v>
      </c>
      <c r="M53" s="10">
        <f>IF(ISNA(VLOOKUP(E53,Sheet2!$C$5:$D$10,2,0)),0,VLOOKUP(E53,Sheet2!$C$5:$D$10,2,0))</f>
        <v>0</v>
      </c>
      <c r="N53" s="10">
        <f t="shared" si="5"/>
        <v>12.5</v>
      </c>
      <c r="O53" s="10">
        <f t="shared" si="6"/>
        <v>0</v>
      </c>
      <c r="P53" s="10">
        <f>VLOOKUP(E53,Sheet2!$C$5:$D$11,2,0)</f>
        <v>12.5</v>
      </c>
      <c r="Q53" s="10">
        <f>VLOOKUP(C53,Sheet2!$Q$5:$V$69,6,0)</f>
        <v>0</v>
      </c>
      <c r="R53" s="29">
        <f t="shared" si="7"/>
        <v>0.15</v>
      </c>
      <c r="S53" s="29" t="str">
        <f>IF(I53&gt;Sheet2!$G$5,Sheet2!$H$5,IF(I53&gt;Sheet2!$G$6,Sheet2!$H$6,IF(I53&gt;Sheet2!$G$7,Sheet2!$H$7,IF(I53&gt;Sheet2!$G$8,Sheet2!$H$8,IF(I53&gt;Sheet2!$G$9,Sheet2!$H$9,IF(I53&gt;Sheet2!$G$10,Sheet2!$H$10,""))))))</f>
        <v/>
      </c>
      <c r="T53" s="29">
        <f>_xlfn.XLOOKUP(J53,Sheet2!$L$5:$L$13,Sheet2!$M$5:$M$13,0,-1)</f>
        <v>0</v>
      </c>
      <c r="U53" s="12">
        <f t="shared" si="1"/>
        <v>8297.5037612838514</v>
      </c>
      <c r="V53" s="30">
        <f t="shared" si="8"/>
        <v>0</v>
      </c>
      <c r="W53" s="30">
        <f t="shared" si="9"/>
        <v>7215.220661985958</v>
      </c>
      <c r="X53" s="30">
        <f t="shared" si="10"/>
        <v>1082.2830992978936</v>
      </c>
    </row>
    <row r="54" spans="1:24" ht="15.6" x14ac:dyDescent="0.25">
      <c r="A54" s="23">
        <v>45</v>
      </c>
      <c r="B54" s="23" t="s">
        <v>122</v>
      </c>
      <c r="C54" s="24" t="s">
        <v>123</v>
      </c>
      <c r="D54" s="25"/>
      <c r="E54" s="26" t="s">
        <v>44</v>
      </c>
      <c r="F54" s="25"/>
      <c r="G54" s="25"/>
      <c r="H54" s="25" t="s">
        <v>31</v>
      </c>
      <c r="I54" s="27">
        <v>3.02785161215763</v>
      </c>
      <c r="J54" s="28">
        <v>0.14000000000000001</v>
      </c>
      <c r="K54" s="9">
        <f t="shared" si="3"/>
        <v>0</v>
      </c>
      <c r="L54" s="9">
        <f t="shared" si="4"/>
        <v>0</v>
      </c>
      <c r="M54" s="10">
        <f>IF(ISNA(VLOOKUP(E54,Sheet2!$C$5:$D$10,2,0)),0,VLOOKUP(E54,Sheet2!$C$5:$D$10,2,0))</f>
        <v>0</v>
      </c>
      <c r="N54" s="10">
        <f t="shared" si="5"/>
        <v>12.5</v>
      </c>
      <c r="O54" s="10">
        <f t="shared" si="6"/>
        <v>0</v>
      </c>
      <c r="P54" s="10">
        <f>VLOOKUP(E54,Sheet2!$C$5:$D$11,2,0)</f>
        <v>12.5</v>
      </c>
      <c r="Q54" s="10">
        <f>VLOOKUP(C54,Sheet2!$Q$5:$V$69,6,0)</f>
        <v>0</v>
      </c>
      <c r="R54" s="29">
        <f t="shared" si="7"/>
        <v>0.15</v>
      </c>
      <c r="S54" s="29" t="str">
        <f>IF(I54&gt;Sheet2!$G$5,Sheet2!$H$5,IF(I54&gt;Sheet2!$G$6,Sheet2!$H$6,IF(I54&gt;Sheet2!$G$7,Sheet2!$H$7,IF(I54&gt;Sheet2!$G$8,Sheet2!$H$8,IF(I54&gt;Sheet2!$G$9,Sheet2!$H$9,IF(I54&gt;Sheet2!$G$10,Sheet2!$H$10,""))))))</f>
        <v/>
      </c>
      <c r="T54" s="29">
        <f>_xlfn.XLOOKUP(J54,Sheet2!$L$5:$L$13,Sheet2!$M$5:$M$13,0,-1)</f>
        <v>0</v>
      </c>
      <c r="U54" s="12">
        <f t="shared" si="1"/>
        <v>8297.5037612838514</v>
      </c>
      <c r="V54" s="30">
        <f t="shared" si="8"/>
        <v>0</v>
      </c>
      <c r="W54" s="30">
        <f t="shared" si="9"/>
        <v>7215.220661985958</v>
      </c>
      <c r="X54" s="30">
        <f t="shared" si="10"/>
        <v>1082.2830992978936</v>
      </c>
    </row>
    <row r="55" spans="1:24" ht="15.6" x14ac:dyDescent="0.25">
      <c r="A55" s="23">
        <v>46</v>
      </c>
      <c r="B55" s="23" t="s">
        <v>124</v>
      </c>
      <c r="C55" s="24" t="s">
        <v>125</v>
      </c>
      <c r="D55" s="25">
        <v>1</v>
      </c>
      <c r="E55" s="26" t="str">
        <f t="shared" ref="E55" si="17">IF(F55="III","III",IF(G55="x","ATK",IF(H55="x","Xã biên giới",IF(F55="II","II",IF(F55="I","I","Xã còn lại")))))</f>
        <v>Xã còn lại</v>
      </c>
      <c r="F55" s="25"/>
      <c r="G55" s="25"/>
      <c r="H55" s="25"/>
      <c r="I55" s="27">
        <v>5.23604121734963</v>
      </c>
      <c r="J55" s="28">
        <v>2.11</v>
      </c>
      <c r="K55" s="9">
        <f t="shared" si="3"/>
        <v>26</v>
      </c>
      <c r="L55" s="9">
        <f t="shared" si="4"/>
        <v>1</v>
      </c>
      <c r="M55" s="10">
        <f>IF(ISNA(VLOOKUP(E55,Sheet2!$C$5:$D$10,2,0)),0,VLOOKUP(E55,Sheet2!$C$5:$D$10,2,0))</f>
        <v>25</v>
      </c>
      <c r="N55" s="10">
        <f t="shared" si="5"/>
        <v>66</v>
      </c>
      <c r="O55" s="10">
        <f t="shared" si="6"/>
        <v>1</v>
      </c>
      <c r="P55" s="10">
        <f>VLOOKUP(E55,Sheet2!$C$5:$D$11,2,0)</f>
        <v>25</v>
      </c>
      <c r="Q55" s="10">
        <f>VLOOKUP(C55,Sheet2!$Q$5:$V$69,6,0)</f>
        <v>40</v>
      </c>
      <c r="R55" s="29">
        <f t="shared" si="7"/>
        <v>0.13999999999999999</v>
      </c>
      <c r="S55" s="29">
        <f>IF(I55&gt;Sheet2!$G$5,Sheet2!$H$5,IF(I55&gt;Sheet2!$G$6,Sheet2!$H$6,IF(I55&gt;Sheet2!$G$7,Sheet2!$H$7,IF(I55&gt;Sheet2!$G$8,Sheet2!$H$8,IF(I55&gt;Sheet2!$G$9,Sheet2!$H$9,IF(I55&gt;Sheet2!$G$10,Sheet2!$H$10,""))))))</f>
        <v>-0.01</v>
      </c>
      <c r="T55" s="29">
        <f>_xlfn.XLOOKUP(J55,Sheet2!$L$5:$L$13,Sheet2!$M$5:$M$13,0,-1)</f>
        <v>0</v>
      </c>
      <c r="U55" s="12">
        <f t="shared" si="1"/>
        <v>69488.615217205472</v>
      </c>
      <c r="V55" s="30">
        <f t="shared" si="8"/>
        <v>22858.560533841755</v>
      </c>
      <c r="W55" s="30">
        <f t="shared" si="9"/>
        <v>38096.365095285859</v>
      </c>
      <c r="X55" s="30">
        <f t="shared" si="10"/>
        <v>8533.6895880778648</v>
      </c>
    </row>
    <row r="56" spans="1:24" ht="15.6" x14ac:dyDescent="0.25">
      <c r="A56" s="23">
        <v>47</v>
      </c>
      <c r="B56" s="23" t="s">
        <v>126</v>
      </c>
      <c r="C56" s="24" t="s">
        <v>127</v>
      </c>
      <c r="D56" s="25">
        <v>7</v>
      </c>
      <c r="E56" s="26" t="str">
        <f t="shared" si="11"/>
        <v>III</v>
      </c>
      <c r="F56" s="25" t="s">
        <v>60</v>
      </c>
      <c r="G56" s="25" t="s">
        <v>31</v>
      </c>
      <c r="H56" s="25"/>
      <c r="I56" s="27">
        <v>13.6209239130435</v>
      </c>
      <c r="J56" s="28">
        <v>55.92</v>
      </c>
      <c r="K56" s="9">
        <f t="shared" si="3"/>
        <v>57</v>
      </c>
      <c r="L56" s="9">
        <f t="shared" si="4"/>
        <v>7</v>
      </c>
      <c r="M56" s="10">
        <f>IF(ISNA(VLOOKUP(E56,Sheet2!$C$5:$D$10,2,0)),0,VLOOKUP(E56,Sheet2!$C$5:$D$10,2,0))</f>
        <v>50</v>
      </c>
      <c r="N56" s="10">
        <f t="shared" si="5"/>
        <v>97</v>
      </c>
      <c r="O56" s="10">
        <f t="shared" si="6"/>
        <v>7</v>
      </c>
      <c r="P56" s="10">
        <f>VLOOKUP(E56,Sheet2!$C$5:$D$11,2,0)</f>
        <v>50</v>
      </c>
      <c r="Q56" s="10">
        <f>VLOOKUP(C56,Sheet2!$Q$5:$V$69,6,0)</f>
        <v>40</v>
      </c>
      <c r="R56" s="29">
        <f t="shared" si="7"/>
        <v>7.9999999999999988E-2</v>
      </c>
      <c r="S56" s="29">
        <f>IF(I56&gt;Sheet2!$G$5,Sheet2!$H$5,IF(I56&gt;Sheet2!$G$6,Sheet2!$H$6,IF(I56&gt;Sheet2!$G$7,Sheet2!$H$7,IF(I56&gt;Sheet2!$G$8,Sheet2!$H$8,IF(I56&gt;Sheet2!$G$9,Sheet2!$H$9,IF(I56&gt;Sheet2!$G$10,Sheet2!$H$10,""))))))</f>
        <v>-0.02</v>
      </c>
      <c r="T56" s="29">
        <f>_xlfn.XLOOKUP(J56,Sheet2!$L$5:$L$13,Sheet2!$M$5:$M$13,0,-1)</f>
        <v>-0.05</v>
      </c>
      <c r="U56" s="12">
        <f t="shared" si="1"/>
        <v>114591.35926486801</v>
      </c>
      <c r="V56" s="30">
        <f t="shared" si="8"/>
        <v>50112.998093422306</v>
      </c>
      <c r="W56" s="30">
        <f t="shared" si="9"/>
        <v>55990.112337011036</v>
      </c>
      <c r="X56" s="30">
        <f t="shared" si="10"/>
        <v>8488.2488344346657</v>
      </c>
    </row>
    <row r="57" spans="1:24" ht="15.6" x14ac:dyDescent="0.25">
      <c r="A57" s="23">
        <v>48</v>
      </c>
      <c r="B57" s="23" t="s">
        <v>128</v>
      </c>
      <c r="C57" s="24" t="s">
        <v>129</v>
      </c>
      <c r="D57" s="25">
        <v>6</v>
      </c>
      <c r="E57" s="26" t="str">
        <f t="shared" si="11"/>
        <v>III</v>
      </c>
      <c r="F57" s="25" t="s">
        <v>60</v>
      </c>
      <c r="G57" s="25" t="s">
        <v>31</v>
      </c>
      <c r="H57" s="25"/>
      <c r="I57" s="27">
        <v>6.7833698030634597</v>
      </c>
      <c r="J57" s="28">
        <v>43.14</v>
      </c>
      <c r="K57" s="9">
        <f t="shared" si="3"/>
        <v>56</v>
      </c>
      <c r="L57" s="9">
        <f t="shared" si="4"/>
        <v>6</v>
      </c>
      <c r="M57" s="10">
        <f>IF(ISNA(VLOOKUP(E57,Sheet2!$C$5:$D$10,2,0)),0,VLOOKUP(E57,Sheet2!$C$5:$D$10,2,0))</f>
        <v>50</v>
      </c>
      <c r="N57" s="10">
        <f t="shared" si="5"/>
        <v>96</v>
      </c>
      <c r="O57" s="10">
        <f t="shared" si="6"/>
        <v>6</v>
      </c>
      <c r="P57" s="10">
        <f>VLOOKUP(E57,Sheet2!$C$5:$D$11,2,0)</f>
        <v>50</v>
      </c>
      <c r="Q57" s="10">
        <f>VLOOKUP(C57,Sheet2!$Q$5:$V$69,6,0)</f>
        <v>40</v>
      </c>
      <c r="R57" s="29">
        <f t="shared" si="7"/>
        <v>9.9999999999999992E-2</v>
      </c>
      <c r="S57" s="29">
        <f>IF(I57&gt;Sheet2!$G$5,Sheet2!$H$5,IF(I57&gt;Sheet2!$G$6,Sheet2!$H$6,IF(I57&gt;Sheet2!$G$7,Sheet2!$H$7,IF(I57&gt;Sheet2!$G$8,Sheet2!$H$8,IF(I57&gt;Sheet2!$G$9,Sheet2!$H$9,IF(I57&gt;Sheet2!$G$10,Sheet2!$H$10,""))))))</f>
        <v>-0.01</v>
      </c>
      <c r="T57" s="29">
        <f>_xlfn.XLOOKUP(J57,Sheet2!$L$5:$L$13,Sheet2!$M$5:$M$13,0,-1)</f>
        <v>-0.04</v>
      </c>
      <c r="U57" s="12">
        <f t="shared" si="1"/>
        <v>115111.38910955937</v>
      </c>
      <c r="V57" s="30">
        <f t="shared" si="8"/>
        <v>49233.822688274544</v>
      </c>
      <c r="W57" s="30">
        <f t="shared" si="9"/>
        <v>55412.89468405216</v>
      </c>
      <c r="X57" s="30">
        <f t="shared" si="10"/>
        <v>10464.671737232669</v>
      </c>
    </row>
    <row r="58" spans="1:24" ht="15.6" x14ac:dyDescent="0.25">
      <c r="A58" s="23">
        <v>49</v>
      </c>
      <c r="B58" s="23" t="s">
        <v>130</v>
      </c>
      <c r="C58" s="24" t="s">
        <v>131</v>
      </c>
      <c r="D58" s="25">
        <v>1</v>
      </c>
      <c r="E58" s="26" t="str">
        <f t="shared" si="11"/>
        <v>II</v>
      </c>
      <c r="F58" s="25" t="s">
        <v>63</v>
      </c>
      <c r="G58" s="25"/>
      <c r="H58" s="25"/>
      <c r="I58" s="27">
        <v>2.6099013131066</v>
      </c>
      <c r="J58" s="28">
        <v>28.3</v>
      </c>
      <c r="K58" s="9">
        <f t="shared" si="3"/>
        <v>41</v>
      </c>
      <c r="L58" s="9">
        <f t="shared" si="4"/>
        <v>1</v>
      </c>
      <c r="M58" s="10">
        <f>IF(ISNA(VLOOKUP(E58,Sheet2!$C$5:$D$10,2,0)),0,VLOOKUP(E58,Sheet2!$C$5:$D$10,2,0))</f>
        <v>40</v>
      </c>
      <c r="N58" s="10">
        <f t="shared" si="5"/>
        <v>81</v>
      </c>
      <c r="O58" s="10">
        <f t="shared" si="6"/>
        <v>1</v>
      </c>
      <c r="P58" s="10">
        <f>VLOOKUP(E58,Sheet2!$C$5:$D$11,2,0)</f>
        <v>40</v>
      </c>
      <c r="Q58" s="10">
        <f>VLOOKUP(C58,Sheet2!$Q$5:$V$69,6,0)</f>
        <v>40</v>
      </c>
      <c r="R58" s="29">
        <f t="shared" si="7"/>
        <v>0.13</v>
      </c>
      <c r="S58" s="29" t="str">
        <f>IF(I58&gt;Sheet2!$G$5,Sheet2!$H$5,IF(I58&gt;Sheet2!$G$6,Sheet2!$H$6,IF(I58&gt;Sheet2!$G$7,Sheet2!$H$7,IF(I58&gt;Sheet2!$G$8,Sheet2!$H$8,IF(I58&gt;Sheet2!$G$9,Sheet2!$H$9,IF(I58&gt;Sheet2!$G$10,Sheet2!$H$10,""))))))</f>
        <v/>
      </c>
      <c r="T58" s="29">
        <f>_xlfn.XLOOKUP(J58,Sheet2!$L$5:$L$13,Sheet2!$M$5:$M$13,0,-1)</f>
        <v>-1.9999999999999997E-2</v>
      </c>
      <c r="U58" s="12">
        <f t="shared" si="1"/>
        <v>93564.928295821694</v>
      </c>
      <c r="V58" s="30">
        <f t="shared" si="8"/>
        <v>36046.191611058151</v>
      </c>
      <c r="W58" s="30">
        <f t="shared" si="9"/>
        <v>46754.629889669013</v>
      </c>
      <c r="X58" s="30">
        <f t="shared" si="10"/>
        <v>10764.106795094533</v>
      </c>
    </row>
    <row r="59" spans="1:24" ht="15.6" x14ac:dyDescent="0.25">
      <c r="A59" s="23">
        <v>50</v>
      </c>
      <c r="B59" s="23" t="s">
        <v>132</v>
      </c>
      <c r="C59" s="24" t="s">
        <v>133</v>
      </c>
      <c r="D59" s="25">
        <v>1</v>
      </c>
      <c r="E59" s="26" t="str">
        <f t="shared" si="11"/>
        <v>II</v>
      </c>
      <c r="F59" s="25" t="s">
        <v>63</v>
      </c>
      <c r="G59" s="25"/>
      <c r="H59" s="25"/>
      <c r="I59" s="27">
        <v>3.5867829504974802</v>
      </c>
      <c r="J59" s="28">
        <v>64.64</v>
      </c>
      <c r="K59" s="9">
        <f t="shared" si="3"/>
        <v>41</v>
      </c>
      <c r="L59" s="9">
        <f t="shared" si="4"/>
        <v>1</v>
      </c>
      <c r="M59" s="10">
        <f>IF(ISNA(VLOOKUP(E59,Sheet2!$C$5:$D$10,2,0)),0,VLOOKUP(E59,Sheet2!$C$5:$D$10,2,0))</f>
        <v>40</v>
      </c>
      <c r="N59" s="10">
        <f t="shared" si="5"/>
        <v>81</v>
      </c>
      <c r="O59" s="10">
        <f t="shared" si="6"/>
        <v>1</v>
      </c>
      <c r="P59" s="10">
        <f>VLOOKUP(E59,Sheet2!$C$5:$D$11,2,0)</f>
        <v>40</v>
      </c>
      <c r="Q59" s="10">
        <f>VLOOKUP(C59,Sheet2!$Q$5:$V$69,6,0)</f>
        <v>40</v>
      </c>
      <c r="R59" s="29">
        <f t="shared" si="7"/>
        <v>0.09</v>
      </c>
      <c r="S59" s="29" t="str">
        <f>IF(I59&gt;Sheet2!$G$5,Sheet2!$H$5,IF(I59&gt;Sheet2!$G$6,Sheet2!$H$6,IF(I59&gt;Sheet2!$G$7,Sheet2!$H$7,IF(I59&gt;Sheet2!$G$8,Sheet2!$H$8,IF(I59&gt;Sheet2!$G$9,Sheet2!$H$9,IF(I59&gt;Sheet2!$G$10,Sheet2!$H$10,""))))))</f>
        <v/>
      </c>
      <c r="T59" s="29">
        <f>_xlfn.XLOOKUP(J59,Sheet2!$L$5:$L$13,Sheet2!$M$5:$M$13,0,-1)</f>
        <v>-6.0000000000000005E-2</v>
      </c>
      <c r="U59" s="12">
        <f t="shared" si="1"/>
        <v>90252.895435792612</v>
      </c>
      <c r="V59" s="30">
        <f t="shared" si="8"/>
        <v>36046.191611058151</v>
      </c>
      <c r="W59" s="30">
        <f t="shared" si="9"/>
        <v>46754.629889669013</v>
      </c>
      <c r="X59" s="30">
        <f t="shared" si="10"/>
        <v>7452.0739350654449</v>
      </c>
    </row>
    <row r="60" spans="1:24" ht="15.6" x14ac:dyDescent="0.25">
      <c r="A60" s="23">
        <v>51</v>
      </c>
      <c r="B60" s="23" t="s">
        <v>134</v>
      </c>
      <c r="C60" s="24" t="s">
        <v>135</v>
      </c>
      <c r="D60" s="25">
        <v>5</v>
      </c>
      <c r="E60" s="26" t="str">
        <f t="shared" si="11"/>
        <v>III</v>
      </c>
      <c r="F60" s="25" t="s">
        <v>60</v>
      </c>
      <c r="G60" s="25" t="s">
        <v>31</v>
      </c>
      <c r="H60" s="25"/>
      <c r="I60" s="27">
        <v>20.5337925096857</v>
      </c>
      <c r="J60" s="28">
        <v>43.32</v>
      </c>
      <c r="K60" s="9">
        <f t="shared" si="3"/>
        <v>55</v>
      </c>
      <c r="L60" s="9">
        <f t="shared" si="4"/>
        <v>5</v>
      </c>
      <c r="M60" s="10">
        <f>IF(ISNA(VLOOKUP(E60,Sheet2!$C$5:$D$10,2,0)),0,VLOOKUP(E60,Sheet2!$C$5:$D$10,2,0))</f>
        <v>50</v>
      </c>
      <c r="N60" s="10">
        <f t="shared" si="5"/>
        <v>95</v>
      </c>
      <c r="O60" s="10">
        <f t="shared" si="6"/>
        <v>5</v>
      </c>
      <c r="P60" s="10">
        <f>VLOOKUP(E60,Sheet2!$C$5:$D$11,2,0)</f>
        <v>50</v>
      </c>
      <c r="Q60" s="10">
        <f>VLOOKUP(C60,Sheet2!$Q$5:$V$69,6,0)</f>
        <v>40</v>
      </c>
      <c r="R60" s="29">
        <f t="shared" si="7"/>
        <v>6.9999999999999993E-2</v>
      </c>
      <c r="S60" s="29">
        <f>IF(I60&gt;Sheet2!$G$5,Sheet2!$H$5,IF(I60&gt;Sheet2!$G$6,Sheet2!$H$6,IF(I60&gt;Sheet2!$G$7,Sheet2!$H$7,IF(I60&gt;Sheet2!$G$8,Sheet2!$H$8,IF(I60&gt;Sheet2!$G$9,Sheet2!$H$9,IF(I60&gt;Sheet2!$G$10,Sheet2!$H$10,""))))))</f>
        <v>-0.04</v>
      </c>
      <c r="T60" s="29">
        <f>_xlfn.XLOOKUP(J60,Sheet2!$L$5:$L$13,Sheet2!$M$5:$M$13,0,-1)</f>
        <v>-0.04</v>
      </c>
      <c r="U60" s="12">
        <f t="shared" si="1"/>
        <v>110413.64701621549</v>
      </c>
      <c r="V60" s="30">
        <f t="shared" si="8"/>
        <v>48354.647283126789</v>
      </c>
      <c r="W60" s="30">
        <f t="shared" si="9"/>
        <v>54835.677031093284</v>
      </c>
      <c r="X60" s="30">
        <f t="shared" si="10"/>
        <v>7223.3227019954047</v>
      </c>
    </row>
    <row r="61" spans="1:24" ht="15.6" x14ac:dyDescent="0.25">
      <c r="A61" s="23">
        <v>52</v>
      </c>
      <c r="B61" s="23" t="s">
        <v>136</v>
      </c>
      <c r="C61" s="24" t="s">
        <v>137</v>
      </c>
      <c r="D61" s="25">
        <v>1</v>
      </c>
      <c r="E61" s="26" t="s">
        <v>44</v>
      </c>
      <c r="F61" s="25" t="s">
        <v>63</v>
      </c>
      <c r="G61" s="25"/>
      <c r="H61" s="25"/>
      <c r="I61" s="27">
        <v>1.77527603377354</v>
      </c>
      <c r="J61" s="28">
        <v>15.76</v>
      </c>
      <c r="K61" s="9">
        <f t="shared" si="3"/>
        <v>1</v>
      </c>
      <c r="L61" s="9">
        <f t="shared" si="4"/>
        <v>1</v>
      </c>
      <c r="M61" s="10">
        <f>IF(ISNA(VLOOKUP(E61,Sheet2!$C$5:$D$10,2,0)),0,VLOOKUP(E61,Sheet2!$C$5:$D$10,2,0))</f>
        <v>0</v>
      </c>
      <c r="N61" s="10">
        <f t="shared" si="5"/>
        <v>13.5</v>
      </c>
      <c r="O61" s="10">
        <f t="shared" si="6"/>
        <v>1</v>
      </c>
      <c r="P61" s="10">
        <f>VLOOKUP(E61,Sheet2!$C$5:$D$11,2,0)</f>
        <v>12.5</v>
      </c>
      <c r="Q61" s="10">
        <f>VLOOKUP(C61,Sheet2!$Q$5:$V$69,6,0)</f>
        <v>0</v>
      </c>
      <c r="R61" s="29">
        <f t="shared" si="7"/>
        <v>0.13999999999999999</v>
      </c>
      <c r="S61" s="29" t="str">
        <f>IF(I61&gt;Sheet2!$G$5,Sheet2!$H$5,IF(I61&gt;Sheet2!$G$6,Sheet2!$H$6,IF(I61&gt;Sheet2!$G$7,Sheet2!$H$7,IF(I61&gt;Sheet2!$G$8,Sheet2!$H$8,IF(I61&gt;Sheet2!$G$9,Sheet2!$H$9,IF(I61&gt;Sheet2!$G$10,Sheet2!$H$10,""))))))</f>
        <v/>
      </c>
      <c r="T61" s="29">
        <f>_xlfn.XLOOKUP(J61,Sheet2!$L$5:$L$13,Sheet2!$M$5:$M$13,0,-1)</f>
        <v>-9.9999999999999967E-3</v>
      </c>
      <c r="U61" s="12">
        <f t="shared" si="1"/>
        <v>9885.6396409055578</v>
      </c>
      <c r="V61" s="30">
        <f t="shared" si="8"/>
        <v>879.17540514775976</v>
      </c>
      <c r="W61" s="30">
        <f t="shared" si="9"/>
        <v>7792.4383149448349</v>
      </c>
      <c r="X61" s="30">
        <f t="shared" si="10"/>
        <v>1214.0259208129632</v>
      </c>
    </row>
    <row r="62" spans="1:24" ht="15.6" x14ac:dyDescent="0.25">
      <c r="A62" s="23">
        <v>53</v>
      </c>
      <c r="B62" s="23" t="s">
        <v>138</v>
      </c>
      <c r="C62" s="24" t="s">
        <v>139</v>
      </c>
      <c r="D62" s="25">
        <v>7</v>
      </c>
      <c r="E62" s="26" t="str">
        <f t="shared" si="11"/>
        <v>III</v>
      </c>
      <c r="F62" s="25" t="s">
        <v>60</v>
      </c>
      <c r="G62" s="25" t="s">
        <v>31</v>
      </c>
      <c r="H62" s="25"/>
      <c r="I62" s="27">
        <v>9.1409881218798397</v>
      </c>
      <c r="J62" s="28">
        <v>59.14</v>
      </c>
      <c r="K62" s="9">
        <f t="shared" si="3"/>
        <v>57</v>
      </c>
      <c r="L62" s="9">
        <f t="shared" si="4"/>
        <v>7</v>
      </c>
      <c r="M62" s="10">
        <f>IF(ISNA(VLOOKUP(E62,Sheet2!$C$5:$D$10,2,0)),0,VLOOKUP(E62,Sheet2!$C$5:$D$10,2,0))</f>
        <v>50</v>
      </c>
      <c r="N62" s="10">
        <f t="shared" si="5"/>
        <v>97</v>
      </c>
      <c r="O62" s="10">
        <f t="shared" si="6"/>
        <v>7</v>
      </c>
      <c r="P62" s="10">
        <f>VLOOKUP(E62,Sheet2!$C$5:$D$11,2,0)</f>
        <v>50</v>
      </c>
      <c r="Q62" s="10">
        <f>VLOOKUP(C62,Sheet2!$Q$5:$V$69,6,0)</f>
        <v>40</v>
      </c>
      <c r="R62" s="29">
        <f t="shared" si="7"/>
        <v>0.09</v>
      </c>
      <c r="S62" s="29">
        <f>IF(I62&gt;Sheet2!$G$5,Sheet2!$H$5,IF(I62&gt;Sheet2!$G$6,Sheet2!$H$6,IF(I62&gt;Sheet2!$G$7,Sheet2!$H$7,IF(I62&gt;Sheet2!$G$8,Sheet2!$H$8,IF(I62&gt;Sheet2!$G$9,Sheet2!$H$9,IF(I62&gt;Sheet2!$G$10,Sheet2!$H$10,""))))))</f>
        <v>-0.01</v>
      </c>
      <c r="T62" s="29">
        <f>_xlfn.XLOOKUP(J62,Sheet2!$L$5:$L$13,Sheet2!$M$5:$M$13,0,-1)</f>
        <v>-0.05</v>
      </c>
      <c r="U62" s="12">
        <f t="shared" si="1"/>
        <v>115652.39036917234</v>
      </c>
      <c r="V62" s="30">
        <f t="shared" si="8"/>
        <v>50112.998093422306</v>
      </c>
      <c r="W62" s="30">
        <f t="shared" si="9"/>
        <v>55990.112337011036</v>
      </c>
      <c r="X62" s="30">
        <f t="shared" si="10"/>
        <v>9549.2799387390005</v>
      </c>
    </row>
    <row r="63" spans="1:24" ht="15.6" x14ac:dyDescent="0.25">
      <c r="A63" s="23">
        <v>54</v>
      </c>
      <c r="B63" s="23" t="s">
        <v>140</v>
      </c>
      <c r="C63" s="24" t="s">
        <v>141</v>
      </c>
      <c r="D63" s="25"/>
      <c r="E63" s="26" t="str">
        <f t="shared" si="11"/>
        <v>I</v>
      </c>
      <c r="F63" s="25" t="s">
        <v>53</v>
      </c>
      <c r="G63" s="25"/>
      <c r="H63" s="25"/>
      <c r="I63" s="27">
        <v>1.3872441211301001</v>
      </c>
      <c r="J63" s="28">
        <v>22.53</v>
      </c>
      <c r="K63" s="9">
        <f t="shared" si="3"/>
        <v>30</v>
      </c>
      <c r="L63" s="9">
        <f t="shared" si="4"/>
        <v>0</v>
      </c>
      <c r="M63" s="10">
        <f>IF(ISNA(VLOOKUP(E63,Sheet2!$C$5:$D$10,2,0)),0,VLOOKUP(E63,Sheet2!$C$5:$D$10,2,0))</f>
        <v>30</v>
      </c>
      <c r="N63" s="10">
        <f t="shared" si="5"/>
        <v>80</v>
      </c>
      <c r="O63" s="10">
        <f t="shared" si="6"/>
        <v>0</v>
      </c>
      <c r="P63" s="10">
        <f>VLOOKUP(E63,Sheet2!$C$5:$D$11,2,0)</f>
        <v>30</v>
      </c>
      <c r="Q63" s="10">
        <f>VLOOKUP(C63,Sheet2!$Q$5:$V$69,6,0)</f>
        <v>50</v>
      </c>
      <c r="R63" s="29">
        <f t="shared" si="7"/>
        <v>0.13</v>
      </c>
      <c r="S63" s="29" t="str">
        <f>IF(I63&gt;Sheet2!$G$5,Sheet2!$H$5,IF(I63&gt;Sheet2!$G$6,Sheet2!$H$6,IF(I63&gt;Sheet2!$G$7,Sheet2!$H$7,IF(I63&gt;Sheet2!$G$8,Sheet2!$H$8,IF(I63&gt;Sheet2!$G$9,Sheet2!$H$9,IF(I63&gt;Sheet2!$G$10,Sheet2!$H$10,""))))))</f>
        <v/>
      </c>
      <c r="T63" s="29">
        <f>_xlfn.XLOOKUP(J63,Sheet2!$L$5:$L$13,Sheet2!$M$5:$M$13,0,-1)</f>
        <v>-1.9999999999999997E-2</v>
      </c>
      <c r="U63" s="12">
        <f t="shared" si="1"/>
        <v>81984.52206199152</v>
      </c>
      <c r="V63" s="30">
        <f t="shared" si="8"/>
        <v>26375.262154432792</v>
      </c>
      <c r="W63" s="30">
        <f t="shared" si="9"/>
        <v>46177.412236710137</v>
      </c>
      <c r="X63" s="30">
        <f t="shared" si="10"/>
        <v>9431.8476708485814</v>
      </c>
    </row>
    <row r="64" spans="1:24" ht="15.6" x14ac:dyDescent="0.25">
      <c r="A64" s="23">
        <v>55</v>
      </c>
      <c r="B64" s="23" t="s">
        <v>142</v>
      </c>
      <c r="C64" s="24" t="s">
        <v>143</v>
      </c>
      <c r="D64" s="25"/>
      <c r="E64" s="26" t="s">
        <v>44</v>
      </c>
      <c r="F64" s="25"/>
      <c r="G64" s="25"/>
      <c r="H64" s="25"/>
      <c r="I64" s="27">
        <v>1.3655715318499499</v>
      </c>
      <c r="J64" s="28">
        <v>0.98</v>
      </c>
      <c r="K64" s="9">
        <f t="shared" si="3"/>
        <v>0</v>
      </c>
      <c r="L64" s="9">
        <f t="shared" si="4"/>
        <v>0</v>
      </c>
      <c r="M64" s="10">
        <f>IF(ISNA(VLOOKUP(E64,Sheet2!$C$5:$D$10,2,0)),0,VLOOKUP(E64,Sheet2!$C$5:$D$10,2,0))</f>
        <v>0</v>
      </c>
      <c r="N64" s="10">
        <f t="shared" si="5"/>
        <v>12.5</v>
      </c>
      <c r="O64" s="10">
        <f t="shared" si="6"/>
        <v>0</v>
      </c>
      <c r="P64" s="10">
        <f>VLOOKUP(E64,Sheet2!$C$5:$D$11,2,0)</f>
        <v>12.5</v>
      </c>
      <c r="Q64" s="10">
        <f>VLOOKUP(C64,Sheet2!$Q$5:$V$69,6,0)</f>
        <v>0</v>
      </c>
      <c r="R64" s="29">
        <f t="shared" si="7"/>
        <v>0.15</v>
      </c>
      <c r="S64" s="29" t="str">
        <f>IF(I64&gt;Sheet2!$G$5,Sheet2!$H$5,IF(I64&gt;Sheet2!$G$6,Sheet2!$H$6,IF(I64&gt;Sheet2!$G$7,Sheet2!$H$7,IF(I64&gt;Sheet2!$G$8,Sheet2!$H$8,IF(I64&gt;Sheet2!$G$9,Sheet2!$H$9,IF(I64&gt;Sheet2!$G$10,Sheet2!$H$10,""))))))</f>
        <v/>
      </c>
      <c r="T64" s="29">
        <f>_xlfn.XLOOKUP(J64,Sheet2!$L$5:$L$13,Sheet2!$M$5:$M$13,0,-1)</f>
        <v>0</v>
      </c>
      <c r="U64" s="12">
        <f t="shared" si="1"/>
        <v>8297.5037612838514</v>
      </c>
      <c r="V64" s="30">
        <f t="shared" si="8"/>
        <v>0</v>
      </c>
      <c r="W64" s="30">
        <f t="shared" si="9"/>
        <v>7215.220661985958</v>
      </c>
      <c r="X64" s="30">
        <f t="shared" si="10"/>
        <v>1082.2830992978936</v>
      </c>
    </row>
    <row r="65" spans="1:24" ht="15.6" x14ac:dyDescent="0.25">
      <c r="A65" s="23">
        <v>56</v>
      </c>
      <c r="B65" s="23" t="s">
        <v>144</v>
      </c>
      <c r="C65" s="24" t="s">
        <v>145</v>
      </c>
      <c r="D65" s="25"/>
      <c r="E65" s="26" t="s">
        <v>44</v>
      </c>
      <c r="F65" s="25"/>
      <c r="G65" s="25"/>
      <c r="H65" s="25" t="s">
        <v>31</v>
      </c>
      <c r="I65" s="27">
        <v>2.1883736623927499</v>
      </c>
      <c r="J65" s="28">
        <v>0.3</v>
      </c>
      <c r="K65" s="9">
        <f t="shared" si="3"/>
        <v>0</v>
      </c>
      <c r="L65" s="9">
        <f t="shared" si="4"/>
        <v>0</v>
      </c>
      <c r="M65" s="10">
        <f>IF(ISNA(VLOOKUP(E65,Sheet2!$C$5:$D$10,2,0)),0,VLOOKUP(E65,Sheet2!$C$5:$D$10,2,0))</f>
        <v>0</v>
      </c>
      <c r="N65" s="10">
        <f t="shared" si="5"/>
        <v>12.5</v>
      </c>
      <c r="O65" s="10">
        <f t="shared" si="6"/>
        <v>0</v>
      </c>
      <c r="P65" s="10">
        <f>VLOOKUP(E65,Sheet2!$C$5:$D$11,2,0)</f>
        <v>12.5</v>
      </c>
      <c r="Q65" s="10">
        <f>VLOOKUP(C65,Sheet2!$Q$5:$V$69,6,0)</f>
        <v>0</v>
      </c>
      <c r="R65" s="29">
        <f t="shared" si="7"/>
        <v>0.15</v>
      </c>
      <c r="S65" s="29" t="str">
        <f>IF(I65&gt;Sheet2!$G$5,Sheet2!$H$5,IF(I65&gt;Sheet2!$G$6,Sheet2!$H$6,IF(I65&gt;Sheet2!$G$7,Sheet2!$H$7,IF(I65&gt;Sheet2!$G$8,Sheet2!$H$8,IF(I65&gt;Sheet2!$G$9,Sheet2!$H$9,IF(I65&gt;Sheet2!$G$10,Sheet2!$H$10,""))))))</f>
        <v/>
      </c>
      <c r="T65" s="29">
        <f>_xlfn.XLOOKUP(J65,Sheet2!$L$5:$L$13,Sheet2!$M$5:$M$13,0,-1)</f>
        <v>0</v>
      </c>
      <c r="U65" s="12">
        <f t="shared" si="1"/>
        <v>8297.5037612838514</v>
      </c>
      <c r="V65" s="30">
        <f t="shared" si="8"/>
        <v>0</v>
      </c>
      <c r="W65" s="30">
        <f t="shared" si="9"/>
        <v>7215.220661985958</v>
      </c>
      <c r="X65" s="30">
        <f t="shared" si="10"/>
        <v>1082.2830992978936</v>
      </c>
    </row>
    <row r="66" spans="1:24" ht="15.6" x14ac:dyDescent="0.25">
      <c r="A66" s="23">
        <v>57</v>
      </c>
      <c r="B66" s="23" t="s">
        <v>146</v>
      </c>
      <c r="C66" s="24" t="s">
        <v>147</v>
      </c>
      <c r="D66" s="25"/>
      <c r="E66" s="26" t="s">
        <v>44</v>
      </c>
      <c r="F66" s="25"/>
      <c r="G66" s="25"/>
      <c r="H66" s="25"/>
      <c r="I66" s="27">
        <v>0.73473906698203395</v>
      </c>
      <c r="J66" s="28">
        <v>0.79</v>
      </c>
      <c r="K66" s="9">
        <f t="shared" si="3"/>
        <v>0</v>
      </c>
      <c r="L66" s="9">
        <f t="shared" si="4"/>
        <v>0</v>
      </c>
      <c r="M66" s="10">
        <f>IF(ISNA(VLOOKUP(E66,Sheet2!$C$5:$D$10,2,0)),0,VLOOKUP(E66,Sheet2!$C$5:$D$10,2,0))</f>
        <v>0</v>
      </c>
      <c r="N66" s="10">
        <f t="shared" si="5"/>
        <v>12.5</v>
      </c>
      <c r="O66" s="10">
        <f t="shared" si="6"/>
        <v>0</v>
      </c>
      <c r="P66" s="10">
        <f>VLOOKUP(E66,Sheet2!$C$5:$D$11,2,0)</f>
        <v>12.5</v>
      </c>
      <c r="Q66" s="10">
        <f>VLOOKUP(C66,Sheet2!$Q$5:$V$69,6,0)</f>
        <v>0</v>
      </c>
      <c r="R66" s="29">
        <f t="shared" si="7"/>
        <v>0.15</v>
      </c>
      <c r="S66" s="29" t="str">
        <f>IF(I66&gt;Sheet2!$G$5,Sheet2!$H$5,IF(I66&gt;Sheet2!$G$6,Sheet2!$H$6,IF(I66&gt;Sheet2!$G$7,Sheet2!$H$7,IF(I66&gt;Sheet2!$G$8,Sheet2!$H$8,IF(I66&gt;Sheet2!$G$9,Sheet2!$H$9,IF(I66&gt;Sheet2!$G$10,Sheet2!$H$10,""))))))</f>
        <v/>
      </c>
      <c r="T66" s="29">
        <f>_xlfn.XLOOKUP(J66,Sheet2!$L$5:$L$13,Sheet2!$M$5:$M$13,0,-1)</f>
        <v>0</v>
      </c>
      <c r="U66" s="12">
        <f t="shared" si="1"/>
        <v>8297.5037612838514</v>
      </c>
      <c r="V66" s="30">
        <f t="shared" si="8"/>
        <v>0</v>
      </c>
      <c r="W66" s="30">
        <f t="shared" si="9"/>
        <v>7215.220661985958</v>
      </c>
      <c r="X66" s="30">
        <f t="shared" si="10"/>
        <v>1082.2830992978936</v>
      </c>
    </row>
    <row r="67" spans="1:24" ht="15.6" x14ac:dyDescent="0.25">
      <c r="A67" s="23">
        <v>58</v>
      </c>
      <c r="B67" s="23" t="s">
        <v>148</v>
      </c>
      <c r="C67" s="24" t="s">
        <v>149</v>
      </c>
      <c r="D67" s="25"/>
      <c r="E67" s="26" t="s">
        <v>44</v>
      </c>
      <c r="F67" s="25"/>
      <c r="G67" s="25"/>
      <c r="H67" s="25" t="s">
        <v>31</v>
      </c>
      <c r="I67" s="27">
        <v>3.1157708210277599</v>
      </c>
      <c r="J67" s="28">
        <v>0.25</v>
      </c>
      <c r="K67" s="9">
        <f t="shared" si="3"/>
        <v>0</v>
      </c>
      <c r="L67" s="9">
        <f t="shared" si="4"/>
        <v>0</v>
      </c>
      <c r="M67" s="10">
        <f>IF(ISNA(VLOOKUP(E67,Sheet2!$C$5:$D$10,2,0)),0,VLOOKUP(E67,Sheet2!$C$5:$D$10,2,0))</f>
        <v>0</v>
      </c>
      <c r="N67" s="10">
        <f t="shared" si="5"/>
        <v>12.5</v>
      </c>
      <c r="O67" s="10">
        <f t="shared" si="6"/>
        <v>0</v>
      </c>
      <c r="P67" s="10">
        <f>VLOOKUP(E67,Sheet2!$C$5:$D$11,2,0)</f>
        <v>12.5</v>
      </c>
      <c r="Q67" s="10">
        <f>VLOOKUP(C67,Sheet2!$Q$5:$V$69,6,0)</f>
        <v>0</v>
      </c>
      <c r="R67" s="29">
        <f t="shared" si="7"/>
        <v>0.15</v>
      </c>
      <c r="S67" s="29" t="str">
        <f>IF(I67&gt;Sheet2!$G$5,Sheet2!$H$5,IF(I67&gt;Sheet2!$G$6,Sheet2!$H$6,IF(I67&gt;Sheet2!$G$7,Sheet2!$H$7,IF(I67&gt;Sheet2!$G$8,Sheet2!$H$8,IF(I67&gt;Sheet2!$G$9,Sheet2!$H$9,IF(I67&gt;Sheet2!$G$10,Sheet2!$H$10,""))))))</f>
        <v/>
      </c>
      <c r="T67" s="29">
        <f>_xlfn.XLOOKUP(J67,Sheet2!$L$5:$L$13,Sheet2!$M$5:$M$13,0,-1)</f>
        <v>0</v>
      </c>
      <c r="U67" s="12">
        <f t="shared" si="1"/>
        <v>8297.5037612838514</v>
      </c>
      <c r="V67" s="30">
        <f t="shared" si="8"/>
        <v>0</v>
      </c>
      <c r="W67" s="30">
        <f t="shared" si="9"/>
        <v>7215.220661985958</v>
      </c>
      <c r="X67" s="30">
        <f t="shared" si="10"/>
        <v>1082.2830992978936</v>
      </c>
    </row>
    <row r="68" spans="1:24" ht="15.6" x14ac:dyDescent="0.25">
      <c r="A68" s="23">
        <v>59</v>
      </c>
      <c r="B68" s="23" t="s">
        <v>150</v>
      </c>
      <c r="C68" s="24" t="s">
        <v>151</v>
      </c>
      <c r="D68" s="25">
        <v>2</v>
      </c>
      <c r="E68" s="26" t="str">
        <f t="shared" si="11"/>
        <v>ATK</v>
      </c>
      <c r="F68" s="25" t="s">
        <v>63</v>
      </c>
      <c r="G68" s="25" t="s">
        <v>31</v>
      </c>
      <c r="H68" s="25" t="s">
        <v>31</v>
      </c>
      <c r="I68" s="27">
        <v>3.5330658729131601</v>
      </c>
      <c r="J68" s="28">
        <v>28</v>
      </c>
      <c r="K68" s="9">
        <f t="shared" si="3"/>
        <v>52</v>
      </c>
      <c r="L68" s="9">
        <f t="shared" si="4"/>
        <v>2</v>
      </c>
      <c r="M68" s="10">
        <f>IF(ISNA(VLOOKUP(E68,Sheet2!$C$5:$D$10,2,0)),0,VLOOKUP(E68,Sheet2!$C$5:$D$10,2,0))</f>
        <v>50</v>
      </c>
      <c r="N68" s="10">
        <f t="shared" si="5"/>
        <v>92</v>
      </c>
      <c r="O68" s="10">
        <f t="shared" si="6"/>
        <v>2</v>
      </c>
      <c r="P68" s="10">
        <f>VLOOKUP(E68,Sheet2!$C$5:$D$11,2,0)</f>
        <v>50</v>
      </c>
      <c r="Q68" s="10">
        <f>VLOOKUP(C68,Sheet2!$Q$5:$V$69,6,0)</f>
        <v>40</v>
      </c>
      <c r="R68" s="29">
        <f t="shared" si="7"/>
        <v>0.13</v>
      </c>
      <c r="S68" s="29" t="str">
        <f>IF(I68&gt;Sheet2!$G$5,Sheet2!$H$5,IF(I68&gt;Sheet2!$G$6,Sheet2!$H$6,IF(I68&gt;Sheet2!$G$7,Sheet2!$H$7,IF(I68&gt;Sheet2!$G$8,Sheet2!$H$8,IF(I68&gt;Sheet2!$G$9,Sheet2!$H$9,IF(I68&gt;Sheet2!$G$10,Sheet2!$H$10,""))))))</f>
        <v/>
      </c>
      <c r="T68" s="29">
        <f>_xlfn.XLOOKUP(J68,Sheet2!$L$5:$L$13,Sheet2!$M$5:$M$13,0,-1)</f>
        <v>-1.9999999999999997E-2</v>
      </c>
      <c r="U68" s="12">
        <f t="shared" si="1"/>
        <v>111667.89400808718</v>
      </c>
      <c r="V68" s="30">
        <f t="shared" si="8"/>
        <v>45717.121067683511</v>
      </c>
      <c r="W68" s="30">
        <f t="shared" si="9"/>
        <v>53104.024072216656</v>
      </c>
      <c r="X68" s="30">
        <f t="shared" si="10"/>
        <v>12846.748868187022</v>
      </c>
    </row>
    <row r="69" spans="1:24" ht="15.6" x14ac:dyDescent="0.25">
      <c r="A69" s="23">
        <v>60</v>
      </c>
      <c r="B69" s="23" t="s">
        <v>152</v>
      </c>
      <c r="C69" s="24" t="s">
        <v>153</v>
      </c>
      <c r="D69" s="25"/>
      <c r="E69" s="26" t="str">
        <f t="shared" si="11"/>
        <v>ATK</v>
      </c>
      <c r="F69" s="25"/>
      <c r="G69" s="25" t="s">
        <v>31</v>
      </c>
      <c r="H69" s="25" t="s">
        <v>31</v>
      </c>
      <c r="I69" s="27">
        <v>3.4500729622680799</v>
      </c>
      <c r="J69" s="28">
        <v>2.08</v>
      </c>
      <c r="K69" s="9">
        <f t="shared" si="3"/>
        <v>50</v>
      </c>
      <c r="L69" s="9">
        <f t="shared" si="4"/>
        <v>0</v>
      </c>
      <c r="M69" s="10">
        <f>IF(ISNA(VLOOKUP(E69,Sheet2!$C$5:$D$10,2,0)),0,VLOOKUP(E69,Sheet2!$C$5:$D$10,2,0))</f>
        <v>50</v>
      </c>
      <c r="N69" s="10">
        <f t="shared" si="5"/>
        <v>90</v>
      </c>
      <c r="O69" s="10">
        <f t="shared" si="6"/>
        <v>0</v>
      </c>
      <c r="P69" s="10">
        <f>VLOOKUP(E69,Sheet2!$C$5:$D$11,2,0)</f>
        <v>50</v>
      </c>
      <c r="Q69" s="10">
        <f>VLOOKUP(C69,Sheet2!$Q$5:$V$69,6,0)</f>
        <v>40</v>
      </c>
      <c r="R69" s="29">
        <f t="shared" si="7"/>
        <v>0.15</v>
      </c>
      <c r="S69" s="29" t="str">
        <f>IF(I69&gt;Sheet2!$G$5,Sheet2!$H$5,IF(I69&gt;Sheet2!$G$6,Sheet2!$H$6,IF(I69&gt;Sheet2!$G$7,Sheet2!$H$7,IF(I69&gt;Sheet2!$G$8,Sheet2!$H$8,IF(I69&gt;Sheet2!$G$9,Sheet2!$H$9,IF(I69&gt;Sheet2!$G$10,Sheet2!$H$10,""))))))</f>
        <v/>
      </c>
      <c r="T69" s="29">
        <f>_xlfn.XLOOKUP(J69,Sheet2!$L$5:$L$13,Sheet2!$M$5:$M$13,0,-1)</f>
        <v>0</v>
      </c>
      <c r="U69" s="12">
        <f t="shared" si="1"/>
        <v>110294.61287723991</v>
      </c>
      <c r="V69" s="30">
        <f t="shared" si="8"/>
        <v>43958.770257387987</v>
      </c>
      <c r="W69" s="30">
        <f t="shared" si="9"/>
        <v>51949.588766298897</v>
      </c>
      <c r="X69" s="30">
        <f t="shared" si="10"/>
        <v>14386.253853553031</v>
      </c>
    </row>
    <row r="70" spans="1:24" ht="15.6" x14ac:dyDescent="0.25">
      <c r="A70" s="23">
        <v>61</v>
      </c>
      <c r="B70" s="23" t="s">
        <v>154</v>
      </c>
      <c r="C70" s="24" t="s">
        <v>155</v>
      </c>
      <c r="D70" s="25"/>
      <c r="E70" s="26" t="str">
        <f t="shared" si="11"/>
        <v>I</v>
      </c>
      <c r="F70" s="25" t="s">
        <v>53</v>
      </c>
      <c r="G70" s="25"/>
      <c r="H70" s="25"/>
      <c r="I70" s="27">
        <v>5.6379472693031998</v>
      </c>
      <c r="J70" s="28">
        <v>30</v>
      </c>
      <c r="K70" s="9">
        <f t="shared" si="3"/>
        <v>30</v>
      </c>
      <c r="L70" s="9">
        <f t="shared" si="4"/>
        <v>0</v>
      </c>
      <c r="M70" s="10">
        <f>IF(ISNA(VLOOKUP(E70,Sheet2!$C$5:$D$10,2,0)),0,VLOOKUP(E70,Sheet2!$C$5:$D$10,2,0))</f>
        <v>30</v>
      </c>
      <c r="N70" s="10">
        <f t="shared" si="5"/>
        <v>30</v>
      </c>
      <c r="O70" s="10">
        <f t="shared" si="6"/>
        <v>0</v>
      </c>
      <c r="P70" s="10">
        <f>VLOOKUP(E70,Sheet2!$C$5:$D$11,2,0)</f>
        <v>30</v>
      </c>
      <c r="Q70" s="10">
        <f>VLOOKUP(C70,Sheet2!$Q$5:$V$69,6,0)</f>
        <v>0</v>
      </c>
      <c r="R70" s="29">
        <f t="shared" si="7"/>
        <v>0.10999999999999999</v>
      </c>
      <c r="S70" s="29">
        <f>IF(I70&gt;Sheet2!$G$5,Sheet2!$H$5,IF(I70&gt;Sheet2!$G$6,Sheet2!$H$6,IF(I70&gt;Sheet2!$G$7,Sheet2!$H$7,IF(I70&gt;Sheet2!$G$8,Sheet2!$H$8,IF(I70&gt;Sheet2!$G$9,Sheet2!$H$9,IF(I70&gt;Sheet2!$G$10,Sheet2!$H$10,""))))))</f>
        <v>-0.01</v>
      </c>
      <c r="T70" s="29">
        <f>_xlfn.XLOOKUP(J70,Sheet2!$L$5:$L$13,Sheet2!$M$5:$M$13,0,-1)</f>
        <v>-0.03</v>
      </c>
      <c r="U70" s="12">
        <f t="shared" si="1"/>
        <v>48497.888834950994</v>
      </c>
      <c r="V70" s="30">
        <f t="shared" si="8"/>
        <v>26375.262154432792</v>
      </c>
      <c r="W70" s="30">
        <f t="shared" si="9"/>
        <v>17316.529588766301</v>
      </c>
      <c r="X70" s="30">
        <f t="shared" si="10"/>
        <v>4806.0970917518998</v>
      </c>
    </row>
    <row r="71" spans="1:24" ht="15.6" x14ac:dyDescent="0.25">
      <c r="A71" s="23">
        <v>62</v>
      </c>
      <c r="B71" s="23" t="s">
        <v>156</v>
      </c>
      <c r="C71" s="24" t="s">
        <v>157</v>
      </c>
      <c r="D71" s="25"/>
      <c r="E71" s="26" t="str">
        <f t="shared" si="11"/>
        <v>I</v>
      </c>
      <c r="F71" s="25" t="s">
        <v>53</v>
      </c>
      <c r="G71" s="25"/>
      <c r="H71" s="25"/>
      <c r="I71" s="27">
        <v>2.16942148760331</v>
      </c>
      <c r="J71" s="28">
        <v>66.2</v>
      </c>
      <c r="K71" s="9">
        <f t="shared" si="3"/>
        <v>30</v>
      </c>
      <c r="L71" s="9">
        <f t="shared" si="4"/>
        <v>0</v>
      </c>
      <c r="M71" s="10">
        <f>IF(ISNA(VLOOKUP(E71,Sheet2!$C$5:$D$10,2,0)),0,VLOOKUP(E71,Sheet2!$C$5:$D$10,2,0))</f>
        <v>30</v>
      </c>
      <c r="N71" s="10">
        <f t="shared" si="5"/>
        <v>80</v>
      </c>
      <c r="O71" s="10">
        <f t="shared" si="6"/>
        <v>0</v>
      </c>
      <c r="P71" s="10">
        <f>VLOOKUP(E71,Sheet2!$C$5:$D$11,2,0)</f>
        <v>30</v>
      </c>
      <c r="Q71" s="10">
        <f>VLOOKUP(C71,Sheet2!$Q$5:$V$69,6,0)</f>
        <v>50</v>
      </c>
      <c r="R71" s="29">
        <f t="shared" si="7"/>
        <v>0.09</v>
      </c>
      <c r="S71" s="29" t="str">
        <f>IF(I71&gt;Sheet2!$G$5,Sheet2!$H$5,IF(I71&gt;Sheet2!$G$6,Sheet2!$H$6,IF(I71&gt;Sheet2!$G$7,Sheet2!$H$7,IF(I71&gt;Sheet2!$G$8,Sheet2!$H$8,IF(I71&gt;Sheet2!$G$9,Sheet2!$H$9,IF(I71&gt;Sheet2!$G$10,Sheet2!$H$10,""))))))</f>
        <v/>
      </c>
      <c r="T71" s="29">
        <f>_xlfn.XLOOKUP(J71,Sheet2!$L$5:$L$13,Sheet2!$M$5:$M$13,0,-1)</f>
        <v>-6.0000000000000005E-2</v>
      </c>
      <c r="U71" s="12">
        <f t="shared" si="1"/>
        <v>79082.415086345805</v>
      </c>
      <c r="V71" s="30">
        <f t="shared" si="8"/>
        <v>26375.262154432792</v>
      </c>
      <c r="W71" s="30">
        <f t="shared" si="9"/>
        <v>46177.412236710137</v>
      </c>
      <c r="X71" s="30">
        <f t="shared" si="10"/>
        <v>6529.7406952028641</v>
      </c>
    </row>
    <row r="72" spans="1:24" ht="15.6" x14ac:dyDescent="0.25">
      <c r="A72" s="23">
        <v>63</v>
      </c>
      <c r="B72" s="23" t="s">
        <v>158</v>
      </c>
      <c r="C72" s="24" t="s">
        <v>159</v>
      </c>
      <c r="D72" s="25"/>
      <c r="E72" s="26" t="str">
        <f t="shared" si="11"/>
        <v>Xã biên giới</v>
      </c>
      <c r="F72" s="25"/>
      <c r="G72" s="25"/>
      <c r="H72" s="25" t="s">
        <v>31</v>
      </c>
      <c r="I72" s="27">
        <v>4.0221606648199399</v>
      </c>
      <c r="J72" s="28">
        <v>6.83</v>
      </c>
      <c r="K72" s="9">
        <f t="shared" si="3"/>
        <v>50</v>
      </c>
      <c r="L72" s="9">
        <f t="shared" si="4"/>
        <v>0</v>
      </c>
      <c r="M72" s="10">
        <f>IF(ISNA(VLOOKUP(E72,Sheet2!$C$5:$D$10,2,0)),0,VLOOKUP(E72,Sheet2!$C$5:$D$10,2,0))</f>
        <v>50</v>
      </c>
      <c r="N72" s="10">
        <f t="shared" si="5"/>
        <v>90</v>
      </c>
      <c r="O72" s="10">
        <f t="shared" si="6"/>
        <v>0</v>
      </c>
      <c r="P72" s="10">
        <f>VLOOKUP(E72,Sheet2!$C$5:$D$11,2,0)</f>
        <v>50</v>
      </c>
      <c r="Q72" s="10">
        <f>VLOOKUP(C72,Sheet2!$Q$5:$V$69,6,0)</f>
        <v>40</v>
      </c>
      <c r="R72" s="29">
        <f t="shared" si="7"/>
        <v>0.15</v>
      </c>
      <c r="S72" s="29" t="str">
        <f>IF(I72&gt;Sheet2!$G$5,Sheet2!$H$5,IF(I72&gt;Sheet2!$G$6,Sheet2!$H$6,IF(I72&gt;Sheet2!$G$7,Sheet2!$H$7,IF(I72&gt;Sheet2!$G$8,Sheet2!$H$8,IF(I72&gt;Sheet2!$G$9,Sheet2!$H$9,IF(I72&gt;Sheet2!$G$10,Sheet2!$H$10,""))))))</f>
        <v/>
      </c>
      <c r="T72" s="29">
        <f>_xlfn.XLOOKUP(J72,Sheet2!$L$5:$L$13,Sheet2!$M$5:$M$13,0,-1)</f>
        <v>0</v>
      </c>
      <c r="U72" s="12">
        <f t="shared" si="1"/>
        <v>110294.61287723991</v>
      </c>
      <c r="V72" s="30">
        <f t="shared" si="8"/>
        <v>43958.770257387987</v>
      </c>
      <c r="W72" s="30">
        <f t="shared" si="9"/>
        <v>51949.588766298897</v>
      </c>
      <c r="X72" s="30">
        <f t="shared" si="10"/>
        <v>14386.253853553031</v>
      </c>
    </row>
    <row r="73" spans="1:24" ht="15.6" x14ac:dyDescent="0.25">
      <c r="A73" s="23">
        <v>64</v>
      </c>
      <c r="B73" s="23" t="s">
        <v>160</v>
      </c>
      <c r="C73" s="24" t="s">
        <v>161</v>
      </c>
      <c r="D73" s="25"/>
      <c r="E73" s="26" t="str">
        <f t="shared" si="11"/>
        <v>Xã biên giới</v>
      </c>
      <c r="F73" s="25"/>
      <c r="G73" s="25"/>
      <c r="H73" s="25" t="s">
        <v>31</v>
      </c>
      <c r="I73" s="27">
        <v>5.2912880812399798</v>
      </c>
      <c r="J73" s="28">
        <v>0</v>
      </c>
      <c r="K73" s="9">
        <f t="shared" si="3"/>
        <v>50</v>
      </c>
      <c r="L73" s="9">
        <f t="shared" si="4"/>
        <v>0</v>
      </c>
      <c r="M73" s="10">
        <f>IF(ISNA(VLOOKUP(E73,Sheet2!$C$5:$D$10,2,0)),0,VLOOKUP(E73,Sheet2!$C$5:$D$10,2,0))</f>
        <v>50</v>
      </c>
      <c r="N73" s="10">
        <f t="shared" si="5"/>
        <v>100</v>
      </c>
      <c r="O73" s="10">
        <f t="shared" si="6"/>
        <v>0</v>
      </c>
      <c r="P73" s="10">
        <f>VLOOKUP(E73,Sheet2!$C$5:$D$11,2,0)</f>
        <v>50</v>
      </c>
      <c r="Q73" s="10">
        <f>VLOOKUP(C73,Sheet2!$Q$5:$V$69,6,0)</f>
        <v>50</v>
      </c>
      <c r="R73" s="29">
        <f t="shared" si="7"/>
        <v>0.13999999999999999</v>
      </c>
      <c r="S73" s="29">
        <f>IF(I73&gt;Sheet2!$G$5,Sheet2!$H$5,IF(I73&gt;Sheet2!$G$6,Sheet2!$H$6,IF(I73&gt;Sheet2!$G$7,Sheet2!$H$7,IF(I73&gt;Sheet2!$G$8,Sheet2!$H$8,IF(I73&gt;Sheet2!$G$9,Sheet2!$H$9,IF(I73&gt;Sheet2!$G$10,Sheet2!$H$10,""))))))</f>
        <v>-0.01</v>
      </c>
      <c r="T73" s="29">
        <f>_xlfn.XLOOKUP(J73,Sheet2!$L$5:$L$13,Sheet2!$M$5:$M$13,0,-1)</f>
        <v>0</v>
      </c>
      <c r="U73" s="12">
        <f t="shared" ref="U73" si="18">SUM(V73:X73)</f>
        <v>115915.81053073425</v>
      </c>
      <c r="V73" s="30">
        <f t="shared" si="8"/>
        <v>43958.770257387987</v>
      </c>
      <c r="W73" s="30">
        <f t="shared" si="9"/>
        <v>57721.765295887664</v>
      </c>
      <c r="X73" s="30">
        <f t="shared" si="10"/>
        <v>14235.27497745859</v>
      </c>
    </row>
    <row r="74" spans="1:24" ht="15.6" x14ac:dyDescent="0.25">
      <c r="A74" s="23">
        <v>65</v>
      </c>
      <c r="B74" s="23" t="s">
        <v>162</v>
      </c>
      <c r="C74" s="24" t="s">
        <v>163</v>
      </c>
      <c r="D74" s="25"/>
      <c r="E74" s="26"/>
      <c r="F74" s="25"/>
      <c r="G74" s="25"/>
      <c r="H74" s="25"/>
      <c r="I74" s="27"/>
      <c r="J74" s="28"/>
      <c r="K74" s="9"/>
      <c r="L74" s="9"/>
      <c r="M74" s="10"/>
      <c r="N74" s="10"/>
      <c r="O74" s="10"/>
      <c r="P74" s="10"/>
      <c r="Q74" s="10"/>
      <c r="R74" s="29"/>
      <c r="S74" s="29" t="str">
        <f>IF(I74&gt;Sheet2!$G$5,Sheet2!$H$5,IF(I74&gt;Sheet2!$G$6,Sheet2!$H$6,IF(I74&gt;Sheet2!$G$7,Sheet2!$H$7,IF(I74&gt;Sheet2!$G$8,Sheet2!$H$8,IF(I74&gt;Sheet2!$G$9,Sheet2!$H$9,IF(I74&gt;Sheet2!$G$10,Sheet2!$H$10,""))))))</f>
        <v/>
      </c>
      <c r="T74" s="29"/>
      <c r="U74" s="30"/>
      <c r="V74" s="30"/>
      <c r="W74" s="30"/>
      <c r="X74" s="30"/>
    </row>
  </sheetData>
  <autoFilter ref="B4:B74" xr:uid="{00000000-0009-0000-0000-000000000000}"/>
  <mergeCells count="23">
    <mergeCell ref="V5:X5"/>
    <mergeCell ref="A2:X2"/>
    <mergeCell ref="A3:X3"/>
    <mergeCell ref="E4:H4"/>
    <mergeCell ref="K4:M4"/>
    <mergeCell ref="R4:T4"/>
    <mergeCell ref="U4:X4"/>
    <mergeCell ref="N4:Q4"/>
    <mergeCell ref="F5:H5"/>
    <mergeCell ref="L5:M5"/>
    <mergeCell ref="S5:T5"/>
    <mergeCell ref="A4:A6"/>
    <mergeCell ref="B4:B6"/>
    <mergeCell ref="C4:C6"/>
    <mergeCell ref="D4:D6"/>
    <mergeCell ref="E5:E6"/>
    <mergeCell ref="I4:I6"/>
    <mergeCell ref="J4:J6"/>
    <mergeCell ref="K5:K6"/>
    <mergeCell ref="R5:R6"/>
    <mergeCell ref="U5:U6"/>
    <mergeCell ref="N5:N6"/>
    <mergeCell ref="O5:Q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3:V69"/>
  <sheetViews>
    <sheetView workbookViewId="0">
      <selection activeCell="D13" sqref="D13"/>
    </sheetView>
  </sheetViews>
  <sheetFormatPr defaultColWidth="9" defaultRowHeight="14.4" x14ac:dyDescent="0.25"/>
  <cols>
    <col min="3" max="3" width="20.6640625" customWidth="1"/>
    <col min="17" max="17" width="15.5546875" customWidth="1"/>
    <col min="18" max="18" width="7.21875" customWidth="1"/>
    <col min="19" max="19" width="6.33203125" customWidth="1"/>
  </cols>
  <sheetData>
    <row r="3" spans="3:22" ht="15" x14ac:dyDescent="0.3">
      <c r="C3" t="s">
        <v>6</v>
      </c>
      <c r="G3" t="s">
        <v>164</v>
      </c>
      <c r="L3" t="s">
        <v>165</v>
      </c>
      <c r="Q3" s="31" t="s">
        <v>171</v>
      </c>
      <c r="R3" s="31"/>
    </row>
    <row r="4" spans="3:22" ht="15" x14ac:dyDescent="0.3">
      <c r="R4" s="31" t="s">
        <v>177</v>
      </c>
      <c r="S4" s="31" t="s">
        <v>44</v>
      </c>
      <c r="T4" s="31" t="s">
        <v>173</v>
      </c>
      <c r="U4" s="31" t="s">
        <v>172</v>
      </c>
      <c r="V4" s="31" t="s">
        <v>13</v>
      </c>
    </row>
    <row r="5" spans="3:22" ht="15.6" x14ac:dyDescent="0.25">
      <c r="C5" s="1" t="s">
        <v>60</v>
      </c>
      <c r="D5" s="1">
        <v>50</v>
      </c>
      <c r="G5">
        <v>30</v>
      </c>
      <c r="H5" s="2">
        <v>-0.06</v>
      </c>
      <c r="L5">
        <v>90</v>
      </c>
      <c r="M5" s="2">
        <v>-0.09</v>
      </c>
      <c r="Q5" s="24" t="s">
        <v>30</v>
      </c>
      <c r="R5" s="32"/>
      <c r="U5">
        <f>IF(AND(R5="",S5="",T5=""),40,0)</f>
        <v>40</v>
      </c>
      <c r="V5">
        <f>SUM(R5:U5)</f>
        <v>40</v>
      </c>
    </row>
    <row r="6" spans="3:22" ht="15.6" x14ac:dyDescent="0.25">
      <c r="C6" s="1" t="s">
        <v>166</v>
      </c>
      <c r="D6" s="1">
        <v>50</v>
      </c>
      <c r="G6">
        <v>25</v>
      </c>
      <c r="H6" s="2">
        <v>-0.05</v>
      </c>
      <c r="L6">
        <f>L5-10</f>
        <v>80</v>
      </c>
      <c r="M6" s="2">
        <f>M5+1%</f>
        <v>-0.08</v>
      </c>
      <c r="Q6" s="24" t="s">
        <v>33</v>
      </c>
      <c r="R6" s="32"/>
      <c r="U6">
        <f t="shared" ref="U6:U68" si="0">IF(AND(R6="",S6="",T6=""),40,0)</f>
        <v>40</v>
      </c>
      <c r="V6">
        <f t="shared" ref="V6:V68" si="1">SUM(R6:U6)</f>
        <v>40</v>
      </c>
    </row>
    <row r="7" spans="3:22" ht="15.6" x14ac:dyDescent="0.25">
      <c r="C7" s="1" t="s">
        <v>18</v>
      </c>
      <c r="D7" s="1">
        <v>50</v>
      </c>
      <c r="G7">
        <v>20</v>
      </c>
      <c r="H7" s="2">
        <v>-0.04</v>
      </c>
      <c r="L7">
        <f t="shared" ref="L7:L13" si="2">L6-10</f>
        <v>70</v>
      </c>
      <c r="M7" s="2">
        <f t="shared" ref="M7:M13" si="3">M6+1%</f>
        <v>-7.0000000000000007E-2</v>
      </c>
      <c r="Q7" s="24" t="s">
        <v>35</v>
      </c>
      <c r="R7" s="32"/>
      <c r="U7">
        <f t="shared" si="0"/>
        <v>40</v>
      </c>
      <c r="V7">
        <f t="shared" si="1"/>
        <v>40</v>
      </c>
    </row>
    <row r="8" spans="3:22" ht="15.6" x14ac:dyDescent="0.25">
      <c r="C8" s="1" t="s">
        <v>63</v>
      </c>
      <c r="D8" s="1">
        <v>40</v>
      </c>
      <c r="G8">
        <v>15</v>
      </c>
      <c r="H8" s="2">
        <v>-0.03</v>
      </c>
      <c r="L8">
        <f t="shared" si="2"/>
        <v>60</v>
      </c>
      <c r="M8" s="2">
        <f t="shared" si="3"/>
        <v>-6.0000000000000005E-2</v>
      </c>
      <c r="Q8" s="24" t="s">
        <v>37</v>
      </c>
      <c r="R8" s="32">
        <v>0</v>
      </c>
      <c r="U8">
        <f t="shared" si="0"/>
        <v>0</v>
      </c>
      <c r="V8">
        <f t="shared" si="1"/>
        <v>0</v>
      </c>
    </row>
    <row r="9" spans="3:22" ht="15.6" x14ac:dyDescent="0.25">
      <c r="C9" s="1" t="s">
        <v>53</v>
      </c>
      <c r="D9" s="1">
        <v>30</v>
      </c>
      <c r="G9">
        <v>10</v>
      </c>
      <c r="H9" s="2">
        <v>-0.02</v>
      </c>
      <c r="L9">
        <f t="shared" si="2"/>
        <v>50</v>
      </c>
      <c r="M9" s="2">
        <f t="shared" si="3"/>
        <v>-0.05</v>
      </c>
      <c r="Q9" s="24" t="s">
        <v>39</v>
      </c>
      <c r="R9" s="32"/>
      <c r="U9">
        <f t="shared" si="0"/>
        <v>40</v>
      </c>
      <c r="V9">
        <f t="shared" si="1"/>
        <v>40</v>
      </c>
    </row>
    <row r="10" spans="3:22" ht="15.6" x14ac:dyDescent="0.25">
      <c r="C10" s="1" t="s">
        <v>167</v>
      </c>
      <c r="D10" s="1">
        <v>25</v>
      </c>
      <c r="G10">
        <v>5</v>
      </c>
      <c r="H10" s="2">
        <v>-0.01</v>
      </c>
      <c r="L10">
        <f t="shared" si="2"/>
        <v>40</v>
      </c>
      <c r="M10" s="2">
        <f t="shared" si="3"/>
        <v>-0.04</v>
      </c>
      <c r="Q10" s="24" t="s">
        <v>41</v>
      </c>
      <c r="R10" s="32"/>
      <c r="U10">
        <f t="shared" si="0"/>
        <v>40</v>
      </c>
      <c r="V10">
        <f t="shared" si="1"/>
        <v>40</v>
      </c>
    </row>
    <row r="11" spans="3:22" ht="15.6" x14ac:dyDescent="0.25">
      <c r="C11" s="1" t="s">
        <v>44</v>
      </c>
      <c r="D11" s="1">
        <v>12.5</v>
      </c>
      <c r="G11">
        <v>0</v>
      </c>
      <c r="H11" s="2">
        <v>0</v>
      </c>
      <c r="L11">
        <f t="shared" si="2"/>
        <v>30</v>
      </c>
      <c r="M11" s="2">
        <f t="shared" si="3"/>
        <v>-0.03</v>
      </c>
      <c r="Q11" s="24" t="s">
        <v>43</v>
      </c>
      <c r="R11" s="32"/>
      <c r="S11">
        <v>0</v>
      </c>
      <c r="U11">
        <f t="shared" si="0"/>
        <v>0</v>
      </c>
      <c r="V11">
        <f t="shared" si="1"/>
        <v>0</v>
      </c>
    </row>
    <row r="12" spans="3:22" ht="15.6" x14ac:dyDescent="0.25">
      <c r="L12">
        <f t="shared" si="2"/>
        <v>20</v>
      </c>
      <c r="M12" s="2">
        <f t="shared" si="3"/>
        <v>-1.9999999999999997E-2</v>
      </c>
      <c r="Q12" s="24" t="s">
        <v>46</v>
      </c>
      <c r="R12" s="32"/>
      <c r="U12">
        <f t="shared" si="0"/>
        <v>40</v>
      </c>
      <c r="V12">
        <f t="shared" si="1"/>
        <v>40</v>
      </c>
    </row>
    <row r="13" spans="3:22" ht="15.6" x14ac:dyDescent="0.25">
      <c r="L13">
        <f t="shared" si="2"/>
        <v>10</v>
      </c>
      <c r="M13" s="2">
        <f t="shared" si="3"/>
        <v>-9.9999999999999967E-3</v>
      </c>
      <c r="Q13" s="24" t="s">
        <v>48</v>
      </c>
      <c r="R13" s="32"/>
      <c r="S13">
        <v>0</v>
      </c>
      <c r="U13">
        <f t="shared" si="0"/>
        <v>0</v>
      </c>
      <c r="V13">
        <f t="shared" si="1"/>
        <v>0</v>
      </c>
    </row>
    <row r="14" spans="3:22" ht="15.6" x14ac:dyDescent="0.3">
      <c r="C14" s="31"/>
      <c r="M14" s="2"/>
      <c r="Q14" s="24" t="s">
        <v>50</v>
      </c>
      <c r="R14" s="32"/>
      <c r="S14">
        <v>0</v>
      </c>
      <c r="U14">
        <f t="shared" si="0"/>
        <v>0</v>
      </c>
      <c r="V14">
        <f t="shared" si="1"/>
        <v>0</v>
      </c>
    </row>
    <row r="15" spans="3:22" ht="15.6" x14ac:dyDescent="0.3">
      <c r="C15" s="31"/>
      <c r="Q15" s="24" t="s">
        <v>52</v>
      </c>
      <c r="R15" s="32"/>
      <c r="U15">
        <f t="shared" si="0"/>
        <v>40</v>
      </c>
      <c r="V15">
        <f t="shared" si="1"/>
        <v>40</v>
      </c>
    </row>
    <row r="16" spans="3:22" ht="15.6" x14ac:dyDescent="0.3">
      <c r="C16" s="31"/>
      <c r="Q16" s="24" t="s">
        <v>55</v>
      </c>
      <c r="R16" s="32">
        <v>0</v>
      </c>
      <c r="U16">
        <f t="shared" si="0"/>
        <v>0</v>
      </c>
      <c r="V16">
        <f t="shared" si="1"/>
        <v>0</v>
      </c>
    </row>
    <row r="17" spans="17:22" ht="15.6" x14ac:dyDescent="0.25">
      <c r="Q17" s="24" t="s">
        <v>57</v>
      </c>
      <c r="R17" s="32"/>
      <c r="U17">
        <f t="shared" si="0"/>
        <v>40</v>
      </c>
      <c r="V17">
        <f t="shared" si="1"/>
        <v>40</v>
      </c>
    </row>
    <row r="18" spans="17:22" ht="15.6" x14ac:dyDescent="0.25">
      <c r="Q18" s="24" t="s">
        <v>59</v>
      </c>
      <c r="R18" s="32"/>
      <c r="U18">
        <f t="shared" si="0"/>
        <v>40</v>
      </c>
      <c r="V18">
        <f t="shared" si="1"/>
        <v>40</v>
      </c>
    </row>
    <row r="19" spans="17:22" ht="15.6" x14ac:dyDescent="0.25">
      <c r="Q19" s="24" t="s">
        <v>62</v>
      </c>
      <c r="R19" s="32"/>
      <c r="U19">
        <f t="shared" si="0"/>
        <v>40</v>
      </c>
      <c r="V19">
        <f t="shared" si="1"/>
        <v>40</v>
      </c>
    </row>
    <row r="20" spans="17:22" ht="15.6" x14ac:dyDescent="0.25">
      <c r="Q20" s="24" t="s">
        <v>65</v>
      </c>
      <c r="R20" s="32"/>
      <c r="U20">
        <f t="shared" si="0"/>
        <v>40</v>
      </c>
      <c r="V20">
        <f t="shared" si="1"/>
        <v>40</v>
      </c>
    </row>
    <row r="21" spans="17:22" ht="15.6" x14ac:dyDescent="0.25">
      <c r="Q21" s="24" t="s">
        <v>67</v>
      </c>
      <c r="R21" s="32"/>
      <c r="U21">
        <f t="shared" si="0"/>
        <v>40</v>
      </c>
      <c r="V21">
        <f t="shared" si="1"/>
        <v>40</v>
      </c>
    </row>
    <row r="22" spans="17:22" ht="15.6" x14ac:dyDescent="0.25">
      <c r="Q22" s="24" t="s">
        <v>69</v>
      </c>
      <c r="R22" s="32">
        <v>0</v>
      </c>
      <c r="U22">
        <f t="shared" si="0"/>
        <v>0</v>
      </c>
      <c r="V22">
        <f t="shared" si="1"/>
        <v>0</v>
      </c>
    </row>
    <row r="23" spans="17:22" ht="15.6" x14ac:dyDescent="0.25">
      <c r="Q23" s="24" t="s">
        <v>71</v>
      </c>
      <c r="R23" s="32"/>
      <c r="S23">
        <v>0</v>
      </c>
      <c r="U23">
        <f t="shared" si="0"/>
        <v>0</v>
      </c>
      <c r="V23">
        <f t="shared" si="1"/>
        <v>0</v>
      </c>
    </row>
    <row r="24" spans="17:22" ht="15.6" x14ac:dyDescent="0.25">
      <c r="Q24" s="24" t="s">
        <v>73</v>
      </c>
      <c r="R24" s="32"/>
      <c r="U24">
        <f t="shared" si="0"/>
        <v>40</v>
      </c>
      <c r="V24">
        <f t="shared" si="1"/>
        <v>40</v>
      </c>
    </row>
    <row r="25" spans="17:22" ht="15.6" x14ac:dyDescent="0.25">
      <c r="Q25" s="24" t="s">
        <v>75</v>
      </c>
      <c r="R25" s="32"/>
      <c r="U25">
        <f t="shared" si="0"/>
        <v>40</v>
      </c>
      <c r="V25">
        <f t="shared" si="1"/>
        <v>40</v>
      </c>
    </row>
    <row r="26" spans="17:22" ht="15.6" x14ac:dyDescent="0.25">
      <c r="Q26" s="24" t="s">
        <v>77</v>
      </c>
      <c r="R26" s="32"/>
      <c r="U26">
        <f t="shared" si="0"/>
        <v>40</v>
      </c>
      <c r="V26">
        <f t="shared" si="1"/>
        <v>40</v>
      </c>
    </row>
    <row r="27" spans="17:22" ht="15.6" x14ac:dyDescent="0.25">
      <c r="Q27" s="24" t="s">
        <v>79</v>
      </c>
      <c r="R27" s="32">
        <v>0</v>
      </c>
      <c r="U27">
        <f t="shared" si="0"/>
        <v>0</v>
      </c>
      <c r="V27">
        <f t="shared" si="1"/>
        <v>0</v>
      </c>
    </row>
    <row r="28" spans="17:22" ht="15.6" x14ac:dyDescent="0.25">
      <c r="Q28" s="24" t="s">
        <v>81</v>
      </c>
      <c r="R28" s="32"/>
      <c r="T28">
        <v>50</v>
      </c>
      <c r="U28">
        <f t="shared" si="0"/>
        <v>0</v>
      </c>
      <c r="V28">
        <f t="shared" si="1"/>
        <v>50</v>
      </c>
    </row>
    <row r="29" spans="17:22" ht="15.6" x14ac:dyDescent="0.25">
      <c r="Q29" s="24" t="s">
        <v>83</v>
      </c>
      <c r="R29" s="32"/>
      <c r="U29">
        <f t="shared" si="0"/>
        <v>40</v>
      </c>
      <c r="V29">
        <f t="shared" si="1"/>
        <v>40</v>
      </c>
    </row>
    <row r="30" spans="17:22" ht="15.6" x14ac:dyDescent="0.25">
      <c r="Q30" s="24" t="s">
        <v>85</v>
      </c>
      <c r="R30" s="32">
        <v>0</v>
      </c>
      <c r="U30">
        <f t="shared" si="0"/>
        <v>0</v>
      </c>
      <c r="V30">
        <f t="shared" si="1"/>
        <v>0</v>
      </c>
    </row>
    <row r="31" spans="17:22" ht="15.6" x14ac:dyDescent="0.25">
      <c r="Q31" s="24" t="s">
        <v>87</v>
      </c>
      <c r="R31" s="32"/>
      <c r="S31">
        <v>0</v>
      </c>
      <c r="U31">
        <f t="shared" si="0"/>
        <v>0</v>
      </c>
      <c r="V31">
        <f t="shared" si="1"/>
        <v>0</v>
      </c>
    </row>
    <row r="32" spans="17:22" ht="15.6" x14ac:dyDescent="0.25">
      <c r="Q32" s="24" t="s">
        <v>89</v>
      </c>
      <c r="R32" s="32"/>
      <c r="S32">
        <v>0</v>
      </c>
      <c r="U32">
        <f t="shared" si="0"/>
        <v>0</v>
      </c>
      <c r="V32">
        <f t="shared" si="1"/>
        <v>0</v>
      </c>
    </row>
    <row r="33" spans="17:22" ht="15.6" x14ac:dyDescent="0.25">
      <c r="Q33" s="24" t="s">
        <v>91</v>
      </c>
      <c r="R33" s="32"/>
      <c r="S33">
        <v>0</v>
      </c>
      <c r="U33">
        <f t="shared" si="0"/>
        <v>0</v>
      </c>
      <c r="V33">
        <f t="shared" si="1"/>
        <v>0</v>
      </c>
    </row>
    <row r="34" spans="17:22" ht="15.6" x14ac:dyDescent="0.25">
      <c r="Q34" s="24" t="s">
        <v>93</v>
      </c>
      <c r="R34" s="32"/>
      <c r="U34">
        <f t="shared" si="0"/>
        <v>40</v>
      </c>
      <c r="V34">
        <f t="shared" si="1"/>
        <v>40</v>
      </c>
    </row>
    <row r="35" spans="17:22" ht="15.6" x14ac:dyDescent="0.25">
      <c r="Q35" s="24" t="s">
        <v>95</v>
      </c>
      <c r="R35" s="32"/>
      <c r="U35">
        <f t="shared" si="0"/>
        <v>40</v>
      </c>
      <c r="V35">
        <f t="shared" si="1"/>
        <v>40</v>
      </c>
    </row>
    <row r="36" spans="17:22" ht="15.6" x14ac:dyDescent="0.25">
      <c r="Q36" s="24" t="s">
        <v>97</v>
      </c>
      <c r="R36" s="32"/>
      <c r="U36">
        <f t="shared" si="0"/>
        <v>40</v>
      </c>
      <c r="V36">
        <f t="shared" si="1"/>
        <v>40</v>
      </c>
    </row>
    <row r="37" spans="17:22" ht="15.6" x14ac:dyDescent="0.25">
      <c r="Q37" s="24" t="s">
        <v>99</v>
      </c>
      <c r="R37" s="32"/>
      <c r="U37">
        <f t="shared" si="0"/>
        <v>40</v>
      </c>
      <c r="V37">
        <f t="shared" si="1"/>
        <v>40</v>
      </c>
    </row>
    <row r="38" spans="17:22" ht="15.6" x14ac:dyDescent="0.25">
      <c r="Q38" s="24" t="s">
        <v>101</v>
      </c>
      <c r="R38" s="32"/>
      <c r="U38">
        <f t="shared" si="0"/>
        <v>40</v>
      </c>
      <c r="V38">
        <f t="shared" si="1"/>
        <v>40</v>
      </c>
    </row>
    <row r="39" spans="17:22" ht="15.6" x14ac:dyDescent="0.25">
      <c r="Q39" s="24" t="s">
        <v>103</v>
      </c>
      <c r="R39" s="32"/>
      <c r="T39">
        <v>50</v>
      </c>
      <c r="U39">
        <f t="shared" si="0"/>
        <v>0</v>
      </c>
      <c r="V39">
        <f t="shared" si="1"/>
        <v>50</v>
      </c>
    </row>
    <row r="40" spans="17:22" ht="15.6" x14ac:dyDescent="0.25">
      <c r="Q40" s="24" t="s">
        <v>105</v>
      </c>
      <c r="R40" s="32"/>
      <c r="S40">
        <v>0</v>
      </c>
      <c r="U40">
        <f t="shared" si="0"/>
        <v>0</v>
      </c>
      <c r="V40">
        <f t="shared" si="1"/>
        <v>0</v>
      </c>
    </row>
    <row r="41" spans="17:22" ht="15.6" x14ac:dyDescent="0.25">
      <c r="Q41" s="24" t="s">
        <v>107</v>
      </c>
      <c r="R41" s="32">
        <v>0</v>
      </c>
      <c r="U41">
        <f t="shared" si="0"/>
        <v>0</v>
      </c>
      <c r="V41">
        <f t="shared" si="1"/>
        <v>0</v>
      </c>
    </row>
    <row r="42" spans="17:22" ht="15.6" x14ac:dyDescent="0.25">
      <c r="Q42" s="24" t="s">
        <v>109</v>
      </c>
      <c r="R42" s="32"/>
      <c r="U42">
        <f t="shared" si="0"/>
        <v>40</v>
      </c>
      <c r="V42">
        <f t="shared" si="1"/>
        <v>40</v>
      </c>
    </row>
    <row r="43" spans="17:22" ht="15.6" x14ac:dyDescent="0.25">
      <c r="Q43" s="24" t="s">
        <v>111</v>
      </c>
      <c r="R43" s="32"/>
      <c r="U43">
        <f t="shared" si="0"/>
        <v>40</v>
      </c>
      <c r="V43">
        <f t="shared" si="1"/>
        <v>40</v>
      </c>
    </row>
    <row r="44" spans="17:22" ht="15.6" x14ac:dyDescent="0.25">
      <c r="Q44" s="24" t="s">
        <v>113</v>
      </c>
      <c r="R44" s="32"/>
      <c r="U44">
        <f t="shared" si="0"/>
        <v>40</v>
      </c>
      <c r="V44">
        <f t="shared" si="1"/>
        <v>40</v>
      </c>
    </row>
    <row r="45" spans="17:22" ht="15.6" x14ac:dyDescent="0.25">
      <c r="Q45" s="24" t="s">
        <v>115</v>
      </c>
      <c r="R45" s="32"/>
      <c r="S45">
        <v>0</v>
      </c>
      <c r="U45">
        <f t="shared" si="0"/>
        <v>0</v>
      </c>
      <c r="V45">
        <f t="shared" si="1"/>
        <v>0</v>
      </c>
    </row>
    <row r="46" spans="17:22" ht="15.6" x14ac:dyDescent="0.25">
      <c r="Q46" s="24" t="s">
        <v>117</v>
      </c>
      <c r="R46" s="32"/>
      <c r="U46">
        <f t="shared" si="0"/>
        <v>40</v>
      </c>
      <c r="V46">
        <f t="shared" si="1"/>
        <v>40</v>
      </c>
    </row>
    <row r="47" spans="17:22" ht="15.6" x14ac:dyDescent="0.25">
      <c r="Q47" s="24" t="s">
        <v>119</v>
      </c>
      <c r="R47" s="32"/>
      <c r="U47">
        <f t="shared" si="0"/>
        <v>40</v>
      </c>
      <c r="V47">
        <f t="shared" si="1"/>
        <v>40</v>
      </c>
    </row>
    <row r="48" spans="17:22" ht="15.6" x14ac:dyDescent="0.25">
      <c r="Q48" s="24" t="s">
        <v>121</v>
      </c>
      <c r="R48" s="32"/>
      <c r="S48">
        <v>0</v>
      </c>
      <c r="U48">
        <f t="shared" si="0"/>
        <v>0</v>
      </c>
      <c r="V48">
        <f t="shared" si="1"/>
        <v>0</v>
      </c>
    </row>
    <row r="49" spans="17:22" ht="15.6" x14ac:dyDescent="0.25">
      <c r="Q49" s="24" t="s">
        <v>123</v>
      </c>
      <c r="R49" s="32"/>
      <c r="S49">
        <v>0</v>
      </c>
      <c r="U49">
        <f t="shared" si="0"/>
        <v>0</v>
      </c>
      <c r="V49">
        <f t="shared" si="1"/>
        <v>0</v>
      </c>
    </row>
    <row r="50" spans="17:22" ht="15.6" x14ac:dyDescent="0.25">
      <c r="Q50" s="24" t="s">
        <v>125</v>
      </c>
      <c r="R50" s="32"/>
      <c r="U50">
        <f t="shared" si="0"/>
        <v>40</v>
      </c>
      <c r="V50">
        <f t="shared" si="1"/>
        <v>40</v>
      </c>
    </row>
    <row r="51" spans="17:22" ht="15.6" x14ac:dyDescent="0.25">
      <c r="Q51" s="24" t="s">
        <v>127</v>
      </c>
      <c r="R51" s="32"/>
      <c r="U51">
        <f t="shared" si="0"/>
        <v>40</v>
      </c>
      <c r="V51">
        <f t="shared" si="1"/>
        <v>40</v>
      </c>
    </row>
    <row r="52" spans="17:22" ht="15.6" x14ac:dyDescent="0.25">
      <c r="Q52" s="24" t="s">
        <v>129</v>
      </c>
      <c r="R52" s="32"/>
      <c r="U52">
        <f t="shared" si="0"/>
        <v>40</v>
      </c>
      <c r="V52">
        <f t="shared" si="1"/>
        <v>40</v>
      </c>
    </row>
    <row r="53" spans="17:22" ht="15.6" x14ac:dyDescent="0.25">
      <c r="Q53" s="24" t="s">
        <v>131</v>
      </c>
      <c r="R53" s="32"/>
      <c r="U53">
        <f t="shared" si="0"/>
        <v>40</v>
      </c>
      <c r="V53">
        <f t="shared" si="1"/>
        <v>40</v>
      </c>
    </row>
    <row r="54" spans="17:22" ht="15.6" x14ac:dyDescent="0.25">
      <c r="Q54" s="24" t="s">
        <v>133</v>
      </c>
      <c r="R54" s="32"/>
      <c r="U54">
        <f t="shared" si="0"/>
        <v>40</v>
      </c>
      <c r="V54">
        <f t="shared" si="1"/>
        <v>40</v>
      </c>
    </row>
    <row r="55" spans="17:22" ht="15.6" x14ac:dyDescent="0.25">
      <c r="Q55" s="24" t="s">
        <v>135</v>
      </c>
      <c r="R55" s="32"/>
      <c r="U55">
        <f t="shared" si="0"/>
        <v>40</v>
      </c>
      <c r="V55">
        <f t="shared" si="1"/>
        <v>40</v>
      </c>
    </row>
    <row r="56" spans="17:22" ht="15.6" x14ac:dyDescent="0.25">
      <c r="Q56" s="24" t="s">
        <v>137</v>
      </c>
      <c r="R56" s="32"/>
      <c r="S56">
        <v>0</v>
      </c>
      <c r="U56">
        <f t="shared" si="0"/>
        <v>0</v>
      </c>
      <c r="V56">
        <f t="shared" si="1"/>
        <v>0</v>
      </c>
    </row>
    <row r="57" spans="17:22" ht="15.6" x14ac:dyDescent="0.25">
      <c r="Q57" s="24" t="s">
        <v>139</v>
      </c>
      <c r="R57" s="32"/>
      <c r="U57">
        <f t="shared" si="0"/>
        <v>40</v>
      </c>
      <c r="V57">
        <f t="shared" si="1"/>
        <v>40</v>
      </c>
    </row>
    <row r="58" spans="17:22" ht="15.6" x14ac:dyDescent="0.25">
      <c r="Q58" s="24" t="s">
        <v>141</v>
      </c>
      <c r="R58" s="32"/>
      <c r="T58">
        <v>50</v>
      </c>
      <c r="U58">
        <f t="shared" si="0"/>
        <v>0</v>
      </c>
      <c r="V58">
        <f t="shared" si="1"/>
        <v>50</v>
      </c>
    </row>
    <row r="59" spans="17:22" ht="15.6" x14ac:dyDescent="0.25">
      <c r="Q59" s="24" t="s">
        <v>143</v>
      </c>
      <c r="R59" s="32"/>
      <c r="S59">
        <v>0</v>
      </c>
      <c r="U59">
        <f t="shared" si="0"/>
        <v>0</v>
      </c>
      <c r="V59">
        <f t="shared" si="1"/>
        <v>0</v>
      </c>
    </row>
    <row r="60" spans="17:22" ht="15.6" x14ac:dyDescent="0.25">
      <c r="Q60" s="24" t="s">
        <v>145</v>
      </c>
      <c r="R60" s="32"/>
      <c r="S60">
        <v>0</v>
      </c>
      <c r="U60">
        <f t="shared" si="0"/>
        <v>0</v>
      </c>
      <c r="V60">
        <f t="shared" si="1"/>
        <v>0</v>
      </c>
    </row>
    <row r="61" spans="17:22" ht="15.6" x14ac:dyDescent="0.25">
      <c r="Q61" s="24" t="s">
        <v>147</v>
      </c>
      <c r="R61" s="32"/>
      <c r="S61">
        <v>0</v>
      </c>
      <c r="U61">
        <f t="shared" si="0"/>
        <v>0</v>
      </c>
      <c r="V61">
        <f t="shared" si="1"/>
        <v>0</v>
      </c>
    </row>
    <row r="62" spans="17:22" ht="15.6" x14ac:dyDescent="0.25">
      <c r="Q62" s="24" t="s">
        <v>149</v>
      </c>
      <c r="R62" s="32"/>
      <c r="S62">
        <v>0</v>
      </c>
      <c r="U62">
        <f t="shared" si="0"/>
        <v>0</v>
      </c>
      <c r="V62">
        <f t="shared" si="1"/>
        <v>0</v>
      </c>
    </row>
    <row r="63" spans="17:22" ht="15.6" x14ac:dyDescent="0.25">
      <c r="Q63" s="24" t="s">
        <v>151</v>
      </c>
      <c r="R63" s="32"/>
      <c r="U63">
        <f t="shared" si="0"/>
        <v>40</v>
      </c>
      <c r="V63">
        <f t="shared" si="1"/>
        <v>40</v>
      </c>
    </row>
    <row r="64" spans="17:22" ht="15.6" x14ac:dyDescent="0.25">
      <c r="Q64" s="24" t="s">
        <v>153</v>
      </c>
      <c r="R64" s="32"/>
      <c r="U64">
        <f t="shared" si="0"/>
        <v>40</v>
      </c>
      <c r="V64">
        <f t="shared" si="1"/>
        <v>40</v>
      </c>
    </row>
    <row r="65" spans="17:22" ht="15.6" x14ac:dyDescent="0.25">
      <c r="Q65" s="24" t="s">
        <v>155</v>
      </c>
      <c r="R65" s="32">
        <v>0</v>
      </c>
      <c r="U65">
        <f t="shared" si="0"/>
        <v>0</v>
      </c>
      <c r="V65">
        <f t="shared" si="1"/>
        <v>0</v>
      </c>
    </row>
    <row r="66" spans="17:22" ht="15.6" x14ac:dyDescent="0.25">
      <c r="Q66" s="24" t="s">
        <v>157</v>
      </c>
      <c r="R66" s="32"/>
      <c r="T66">
        <v>50</v>
      </c>
      <c r="U66">
        <f t="shared" si="0"/>
        <v>0</v>
      </c>
      <c r="V66">
        <f t="shared" si="1"/>
        <v>50</v>
      </c>
    </row>
    <row r="67" spans="17:22" ht="15.6" x14ac:dyDescent="0.25">
      <c r="Q67" s="24" t="s">
        <v>159</v>
      </c>
      <c r="R67" s="32"/>
      <c r="U67">
        <f t="shared" si="0"/>
        <v>40</v>
      </c>
      <c r="V67">
        <f t="shared" si="1"/>
        <v>40</v>
      </c>
    </row>
    <row r="68" spans="17:22" ht="15.6" x14ac:dyDescent="0.25">
      <c r="Q68" s="24" t="s">
        <v>161</v>
      </c>
      <c r="R68" s="32"/>
      <c r="T68">
        <v>50</v>
      </c>
      <c r="U68">
        <f t="shared" si="0"/>
        <v>0</v>
      </c>
      <c r="V68">
        <f t="shared" si="1"/>
        <v>50</v>
      </c>
    </row>
    <row r="69" spans="17:22" ht="15.6" x14ac:dyDescent="0.25">
      <c r="Q69" s="24" t="s">
        <v>163</v>
      </c>
      <c r="R69" s="3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Khanh Hoa</dc:creator>
  <cp:lastModifiedBy>Khanh Hoa</cp:lastModifiedBy>
  <dcterms:created xsi:type="dcterms:W3CDTF">2026-05-15T03:36:00Z</dcterms:created>
  <dcterms:modified xsi:type="dcterms:W3CDTF">2026-06-24T08:33:03Z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A43126DA444446E4B77B250E4E695190_12</vt:lpwstr>
  </property>
  <property fmtid="{D5CDD505-2E9C-101B-9397-08002B2CF9AE}" pid="3" name="KSOProductBuildVer">
    <vt:lpwstr>1033-12.1.0.26372</vt:lpwstr>
  </property>
  <property fmtid="{D5CDD505-2E9C-101B-9397-08002B2CF9AE}" pid="4" name="CalculationRule">
    <vt:i4>0</vt:i4>
  </property>
</Properties>
</file>